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mary" sheetId="1" state="visible" r:id="rId3"/>
    <sheet name="Work Summary" sheetId="2" state="visible" r:id="rId4"/>
    <sheet name="Exclusion Summary" sheetId="3" state="visible" r:id="rId5"/>
    <sheet name="Schedule 1" sheetId="4" state="visible" r:id="rId6"/>
    <sheet name="Schedule 1 (L)" sheetId="5" state="visible" r:id="rId7"/>
    <sheet name="Schedule 1 (C)" sheetId="6" state="visible" r:id="rId8"/>
    <sheet name="Schedule 2" sheetId="7" state="visible" r:id="rId9"/>
    <sheet name="Schedule 3" sheetId="8" state="visible" r:id="rId10"/>
    <sheet name="Schedule 3 (Materials)" sheetId="9" state="visible" r:id="rId11"/>
    <sheet name="Schedule 3 (L-Office)" sheetId="10" state="visible" r:id="rId12"/>
    <sheet name="Schedule 3 (L-Start)" sheetId="11" state="visible" r:id="rId13"/>
    <sheet name="Sche 3 (L-Craft, By Trade)" sheetId="12" state="visible" r:id="rId14"/>
    <sheet name="Schedule 4" sheetId="13" state="visible" r:id="rId15"/>
    <sheet name="Schedule 5" sheetId="14" state="visible" r:id="rId16"/>
    <sheet name="Schedule 1 (L-Men) " sheetId="15" state="visible" r:id="rId17"/>
  </sheets>
  <definedNames>
    <definedName function="false" hidden="false" localSheetId="2" name="_xlnm.Print_Titles" vbProcedure="false">'Exclusion Summary'!$6:$6</definedName>
    <definedName function="false" hidden="false" localSheetId="11" name="_xlnm.Print_Area" vbProcedure="false">'Sche 3 (L-Craft, By Trade)'!$1:$65536</definedName>
    <definedName function="false" hidden="false" localSheetId="11" name="_xlnm.Print_Titles" vbProcedure="false">'Sche 3 (L-Craft, By Trade)'!$A:$A,'Sche 3 (L-Craft, By Trade)'!$1:$3</definedName>
    <definedName function="false" hidden="false" localSheetId="3" name="_xlnm.Print_Titles" vbProcedure="false">'Schedule 1'!$1:$3</definedName>
    <definedName function="false" hidden="false" localSheetId="14" name="_xlnm.Print_Area" vbProcedure="false">'Schedule 1 (L-Men) '!$1:$65536</definedName>
    <definedName function="false" hidden="false" localSheetId="4" name="_xlnm.Print_Area" vbProcedure="false">'Schedule 1 (L)'!$1:$65536</definedName>
    <definedName function="false" hidden="false" localSheetId="6" name="_xlnm.Print_Area" vbProcedure="false">'Schedule 2'!$1:$65536</definedName>
    <definedName function="false" hidden="false" localSheetId="6" name="_xlnm.Print_Titles" vbProcedure="false">'Schedule 2'!$1:$3</definedName>
    <definedName function="false" hidden="false" localSheetId="7" name="_xlnm.Print_Titles" vbProcedure="false">'Schedule 3'!$1:$3</definedName>
    <definedName function="false" hidden="false" localSheetId="9" name="_xlnm.Print_Titles" vbProcedure="false">'Schedule 3 (L-Office)'!$1:$4</definedName>
    <definedName function="false" hidden="false" localSheetId="10" name="_xlnm.Print_Titles" vbProcedure="false">'Schedule 3 (L-Start)'!$1:$4</definedName>
    <definedName function="false" hidden="false" localSheetId="8" name="_xlnm.Print_Titles" vbProcedure="false">'Schedule 3 (Materials)'!$1:$4</definedName>
    <definedName function="false" hidden="false" localSheetId="12" name="_xlnm.Print_Titles" vbProcedure="false">'Schedule 4'!$1:$4</definedName>
    <definedName function="false" hidden="false" localSheetId="13" name="_xlnm.Print_Titles" vbProcedure="false">'Schedule 5'!$1:$3</definedName>
    <definedName function="false" hidden="false" localSheetId="0" name="_xlnm.Print_Area" vbProcedure="false">Summary!$1:$65536</definedName>
    <definedName function="false" hidden="false" localSheetId="1" name="_xlnm.Print_Titles" vbProcedure="false">'Work Summary'!$1:$3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<sst xmlns="http://schemas.openxmlformats.org/spreadsheetml/2006/main" count="2198" uniqueCount="853">
  <si>
    <t xml:space="preserve">Turbine Generator #1</t>
  </si>
  <si>
    <t xml:space="preserve">Account: 01-32308</t>
  </si>
  <si>
    <t xml:space="preserve">Index: 99999.31</t>
  </si>
  <si>
    <t xml:space="preserve">Loss: 01404-00-28-01</t>
  </si>
  <si>
    <t xml:space="preserve">Mechanical Breakdown: June 14, 2000</t>
  </si>
  <si>
    <t xml:space="preserve">Claim Summary</t>
  </si>
  <si>
    <t xml:space="preserve">Item</t>
  </si>
  <si>
    <t xml:space="preserve">Amount Claimed</t>
  </si>
  <si>
    <t xml:space="preserve">Scope Adjustments</t>
  </si>
  <si>
    <t xml:space="preserve">Policy Exclusion Adjustments</t>
  </si>
  <si>
    <t xml:space="preserve">Estimated Claim Measurement</t>
  </si>
  <si>
    <t xml:space="preserve">Schedule  Reference</t>
  </si>
  <si>
    <t xml:space="preserve">Property Damages</t>
  </si>
  <si>
    <t xml:space="preserve">Work Summary &amp;</t>
  </si>
  <si>
    <t xml:space="preserve">Exclusion Summary</t>
  </si>
  <si>
    <t xml:space="preserve">Time Element</t>
  </si>
  <si>
    <t xml:space="preserve">No Claim</t>
  </si>
  <si>
    <t xml:space="preserve">None</t>
  </si>
  <si>
    <t xml:space="preserve">Totals</t>
  </si>
  <si>
    <t xml:space="preserve">Deductible  (PD only)</t>
  </si>
  <si>
    <t xml:space="preserve">Net Payable</t>
  </si>
  <si>
    <t xml:space="preserve">Less:</t>
  </si>
  <si>
    <t xml:space="preserve">  Advance</t>
  </si>
  <si>
    <t xml:space="preserve">Net Final Payment</t>
  </si>
  <si>
    <t xml:space="preserve">Property Damage Work Summary</t>
  </si>
  <si>
    <t xml:space="preserve">Mechanical Breakdown, June 14, 2000 - Unit #1</t>
  </si>
  <si>
    <t xml:space="preserve">Vendor/Description of Activity</t>
  </si>
  <si>
    <t xml:space="preserve">Schedule</t>
  </si>
  <si>
    <t xml:space="preserve">Claim</t>
  </si>
  <si>
    <t xml:space="preserve">Adjustments</t>
  </si>
  <si>
    <t xml:space="preserve">Estimate</t>
  </si>
  <si>
    <t xml:space="preserve">Elliott On-Site Services</t>
  </si>
  <si>
    <t xml:space="preserve">Schedule 1</t>
  </si>
  <si>
    <t xml:space="preserve">Elliott on-site services for labor on disassembly,</t>
  </si>
  <si>
    <t xml:space="preserve">re-assemble, final-alignment (Time &amp; Material Contract)</t>
  </si>
  <si>
    <t xml:space="preserve">General Electric</t>
  </si>
  <si>
    <t xml:space="preserve">Schedule 2</t>
  </si>
  <si>
    <t xml:space="preserve">Full set of rotor &amp; stator compressor blades, spacer kit</t>
  </si>
  <si>
    <t xml:space="preserve">Power Support</t>
  </si>
  <si>
    <t xml:space="preserve">(Mike Elliot) - Provide compressor stub shaft</t>
  </si>
  <si>
    <t xml:space="preserve">Preco</t>
  </si>
  <si>
    <t xml:space="preserve">PRECO shop work on turbine rotor, compressor rotor, 2nd &amp;</t>
  </si>
  <si>
    <t xml:space="preserve">3rd stage turbine nozzles, transition pieces, inner barrel, etc...</t>
  </si>
  <si>
    <t xml:space="preserve">Millwrights, Inc.</t>
  </si>
  <si>
    <t xml:space="preserve">Consultant services - Waylon Beaty</t>
  </si>
  <si>
    <t xml:space="preserve">RTA</t>
  </si>
  <si>
    <t xml:space="preserve">U1 bearing repair, miscellaneous machining, grinding</t>
  </si>
  <si>
    <t xml:space="preserve">deburring, &amp; quality verification of shim for U1 thrust bearing</t>
  </si>
  <si>
    <t xml:space="preserve">re-conditioning of turning gear motor, &amp; consultant services</t>
  </si>
  <si>
    <t xml:space="preserve">Wach's Co.</t>
  </si>
  <si>
    <t xml:space="preserve">For on-site removal of old stationary vanes</t>
  </si>
  <si>
    <t xml:space="preserve">NEPCO</t>
  </si>
  <si>
    <t xml:space="preserve">Schedule 3</t>
  </si>
  <si>
    <t xml:space="preserve">Construction &amp; startup support </t>
  </si>
  <si>
    <t xml:space="preserve">Power Spares</t>
  </si>
  <si>
    <t xml:space="preserve">Provide turning gear reducer and hydraulic planetary gears</t>
  </si>
  <si>
    <t xml:space="preserve">Power Systems Mfg.</t>
  </si>
  <si>
    <t xml:space="preserve">Schedule 4</t>
  </si>
  <si>
    <t xml:space="preserve">Personnel contracted: Metallurgical, failure analysis;</t>
  </si>
  <si>
    <t xml:space="preserve">Re-assemble of LEC Combustor system &amp; Consulting Services</t>
  </si>
  <si>
    <t xml:space="preserve">Direction of Compressor Rebuild on-site</t>
  </si>
  <si>
    <t xml:space="preserve">Enron North America</t>
  </si>
  <si>
    <t xml:space="preserve">Schedule 5</t>
  </si>
  <si>
    <t xml:space="preserve">On-site expenses and/or extended support for Virgo, Kristich, etc.</t>
  </si>
  <si>
    <t xml:space="preserve">Jim Mayeaux</t>
  </si>
  <si>
    <t xml:space="preserve">Technical guidance</t>
  </si>
  <si>
    <t xml:space="preserve">G.L.C. Consulting</t>
  </si>
  <si>
    <t xml:space="preserve">Technical guidance/Loss Summary</t>
  </si>
  <si>
    <t xml:space="preserve">Kelly McKinzie</t>
  </si>
  <si>
    <t xml:space="preserve">Jim Richards</t>
  </si>
  <si>
    <t xml:space="preserve">Jim Richards (Kelly McKinzie Stand-in)</t>
  </si>
  <si>
    <t xml:space="preserve">Bill Hamer (Gas Turbine Mech. Serv.)</t>
  </si>
  <si>
    <t xml:space="preserve">Consulting on casing leaks, failure analysis, technical guidance</t>
  </si>
  <si>
    <t xml:space="preserve">Sam Kamal</t>
  </si>
  <si>
    <t xml:space="preserve">EECC 3rd Party QA - Oilfield Materials Consultants - OMC</t>
  </si>
  <si>
    <t xml:space="preserve">Swame</t>
  </si>
  <si>
    <t xml:space="preserve">Southwest Research - Failure anaalysis</t>
  </si>
  <si>
    <t xml:space="preserve">Frank Cervenka</t>
  </si>
  <si>
    <t xml:space="preserve">EECC QA - Contract Labor</t>
  </si>
  <si>
    <t xml:space="preserve">Shengli (Victor) Wu</t>
  </si>
  <si>
    <t xml:space="preserve">EECC Performance Engineer</t>
  </si>
  <si>
    <t xml:space="preserve">Total - Property Damage</t>
  </si>
  <si>
    <t xml:space="preserve">Calculation Check</t>
  </si>
  <si>
    <t xml:space="preserve">General Exclusions Applying to All Sections of the Policy:</t>
  </si>
  <si>
    <t xml:space="preserve">This Policy does not cover:</t>
  </si>
  <si>
    <t xml:space="preserve">e)</t>
  </si>
  <si>
    <t xml:space="preserve">All costs rendered necessary by defects of material, workmanship, design, plan or specification and should damage occur to any portion of the Insured Property containing any of said defects the cost of replacement or rectification which is hereby excluded is that cost which would have been incurred if replacement or rectification of the Insured Property had been put in hand immediately prior to the said damage.</t>
  </si>
  <si>
    <t xml:space="preserve">It is understood and agreed that any portion of the Insured property shall not be regarded as damaged solely by virtue of the existence of any defect of material, workmanship, design, plan or specification.</t>
  </si>
  <si>
    <t xml:space="preserve">Estimated Claim Measure</t>
  </si>
  <si>
    <t xml:space="preserve">Net Estimate</t>
  </si>
  <si>
    <t xml:space="preserve">Schedule 1 (L), Page 12</t>
  </si>
  <si>
    <t xml:space="preserve">See Sche 1 (L), page 7 for details of estimated costs</t>
  </si>
  <si>
    <t xml:space="preserve">associated with openning &amp; closing</t>
  </si>
  <si>
    <t xml:space="preserve">Blade #1 from Row 16 of Rotor</t>
  </si>
  <si>
    <t xml:space="preserve">Work to replace single blade, includes any shipping</t>
  </si>
  <si>
    <t xml:space="preserve">deburring, &amp; quality venfication of shim for U1 thrust bearing</t>
  </si>
  <si>
    <t xml:space="preserve">Construction &amp; startup support, See Sche. 3, Page 22 on estimated openning &amp; closing</t>
  </si>
  <si>
    <t xml:space="preserve">25% of all charges</t>
  </si>
  <si>
    <t xml:space="preserve">50% of all charges</t>
  </si>
  <si>
    <t xml:space="preserve">Property Damage Summary</t>
  </si>
  <si>
    <t xml:space="preserve">SCHEDULE 1</t>
  </si>
  <si>
    <t xml:space="preserve">ELLIOTT ON-SITE SERVICES</t>
  </si>
  <si>
    <t xml:space="preserve">Invoice OSS-6467-01</t>
  </si>
  <si>
    <t xml:space="preserve">Day Shift</t>
  </si>
  <si>
    <t xml:space="preserve">Project Manager</t>
  </si>
  <si>
    <t xml:space="preserve">Technical Director</t>
  </si>
  <si>
    <t xml:space="preserve">General Foreman</t>
  </si>
  <si>
    <t xml:space="preserve">Millwright Foreman</t>
  </si>
  <si>
    <t xml:space="preserve">Millwrights</t>
  </si>
  <si>
    <t xml:space="preserve">Subtotal Labor</t>
  </si>
  <si>
    <t xml:space="preserve">Truck Usage — daily charge as noted</t>
  </si>
  <si>
    <t xml:space="preserve">Tool Usage — per shift charge as noted</t>
  </si>
  <si>
    <t xml:space="preserve">Total Day Shift Charges</t>
  </si>
  <si>
    <t xml:space="preserve">Night Shift</t>
  </si>
  <si>
    <t xml:space="preserve">Note: All Tool Usage deducted from Day Shift</t>
  </si>
  <si>
    <t xml:space="preserve">Total Night Shift Charges</t>
  </si>
  <si>
    <t xml:space="preserve">Subcontracts and Vendor Purchases</t>
  </si>
  <si>
    <t xml:space="preserve">Summary of the enclosed invoices.</t>
  </si>
  <si>
    <t xml:space="preserve">Subcontracts:</t>
  </si>
  <si>
    <t xml:space="preserve">Global Field Machining - field machining at the job site</t>
  </si>
  <si>
    <t xml:space="preserve">Boyne Consulting - technical services</t>
  </si>
  <si>
    <t xml:space="preserve">Prime Machine - Alignment Services</t>
  </si>
  <si>
    <t xml:space="preserve">Other</t>
  </si>
  <si>
    <t xml:space="preserve">Subtotal Subcontracts</t>
  </si>
  <si>
    <t xml:space="preserve">Consumables</t>
  </si>
  <si>
    <t xml:space="preserve">Freight</t>
  </si>
  <si>
    <t xml:space="preserve">Materials</t>
  </si>
  <si>
    <t xml:space="preserve">Tool Rental</t>
  </si>
  <si>
    <t xml:space="preserve"> </t>
  </si>
  <si>
    <t xml:space="preserve">Total Subcontracts and Vendor Purchases</t>
  </si>
  <si>
    <t xml:space="preserve">Per Diem Living Expenses - Foremen and Millwrights </t>
  </si>
  <si>
    <t xml:space="preserve">Project Manager and Technical Director Living Expenses </t>
  </si>
  <si>
    <t xml:space="preserve">Expense accounts &amp; airline receipts at cost.</t>
  </si>
  <si>
    <t xml:space="preserve">Jacksonville Service Shop - Shorten jack shaft - copy of job</t>
  </si>
  <si>
    <t xml:space="preserve">closing price sheet attached.</t>
  </si>
  <si>
    <t xml:space="preserve">Deductions per Claim revision/J. Bonano -01/03/01</t>
  </si>
  <si>
    <t xml:space="preserve">Check</t>
  </si>
  <si>
    <t xml:space="preserve">SCHEDULE 1 (L)</t>
  </si>
  <si>
    <t xml:space="preserve">Breakdown of Labor Costs between Units 1,2, &amp;3.</t>
  </si>
  <si>
    <t xml:space="preserve">DAY SHIFT LABOR</t>
  </si>
  <si>
    <t xml:space="preserve">NIGHT SHIFT LABOR</t>
  </si>
  <si>
    <t xml:space="preserve">TOTAL LABOR</t>
  </si>
  <si>
    <t xml:space="preserve">TOOL &amp; TRUCK</t>
  </si>
  <si>
    <t xml:space="preserve">TOTAL</t>
  </si>
  <si>
    <t xml:space="preserve">DEDUCTIONS</t>
  </si>
  <si>
    <t xml:space="preserve">NET TOTALS</t>
  </si>
  <si>
    <t xml:space="preserve">UNIT I</t>
  </si>
  <si>
    <t xml:space="preserve">UNIT 2</t>
  </si>
  <si>
    <t xml:space="preserve">UNIT 3</t>
  </si>
  <si>
    <t xml:space="preserve">TOTAL LABOR DOLLARS</t>
  </si>
  <si>
    <t xml:space="preserve">Breakdown of Labor Hours between Units 1,2, &amp;3</t>
  </si>
  <si>
    <t xml:space="preserve">LABOR BY MACHINE PER J. BONANNO</t>
  </si>
  <si>
    <t xml:space="preserve">LABOR BY MACHINE PER TIME CARDS</t>
  </si>
  <si>
    <t xml:space="preserve">DAY</t>
  </si>
  <si>
    <t xml:space="preserve">NIGHT</t>
  </si>
  <si>
    <t xml:space="preserve">SHIFT</t>
  </si>
  <si>
    <t xml:space="preserve">HOURS</t>
  </si>
  <si>
    <t xml:space="preserve">AMOUNT</t>
  </si>
  <si>
    <t xml:space="preserve">UNIT 1</t>
  </si>
  <si>
    <t xml:space="preserve">TOTAL LABOR HOURS</t>
  </si>
  <si>
    <t xml:space="preserve">TRUCK USAGE:</t>
  </si>
  <si>
    <t xml:space="preserve">TOTALS</t>
  </si>
  <si>
    <t xml:space="preserve">LABOR BY MACHINE</t>
  </si>
  <si>
    <t xml:space="preserve">TOOL USAGE:</t>
  </si>
  <si>
    <t xml:space="preserve">UNIT I - Unrelated</t>
  </si>
  <si>
    <t xml:space="preserve">DAY SHIFT</t>
  </si>
  <si>
    <t xml:space="preserve">NIGHT SHIFT</t>
  </si>
  <si>
    <t xml:space="preserve">Estimated Credit for time associated with correcting exisiting Unit #1 problems:</t>
  </si>
  <si>
    <t xml:space="preserve">By Shift</t>
  </si>
  <si>
    <t xml:space="preserve">UNIT 2 - work</t>
  </si>
  <si>
    <t xml:space="preserve">UNIT 3 - work </t>
  </si>
  <si>
    <t xml:space="preserve">Corrections Credit Recap</t>
  </si>
  <si>
    <t xml:space="preserve">DAY SHIFT LABOR DEDUCTIONS</t>
  </si>
  <si>
    <t xml:space="preserve">NIGHT SHIFT LABOR DEDUCTIONS</t>
  </si>
  <si>
    <t xml:space="preserve">TRUCK/TOOL DEDUCTIONS - DAY SHIFT</t>
  </si>
  <si>
    <t xml:space="preserve">NET #1 Labor</t>
  </si>
  <si>
    <t xml:space="preserve">Day</t>
  </si>
  <si>
    <t xml:space="preserve">TOOL DEDUCTIONS - NIGHT SHIFT</t>
  </si>
  <si>
    <t xml:space="preserve">Night</t>
  </si>
  <si>
    <t xml:space="preserve">ALL LABOR/TRUCK/TOOL DEDUCTIONS</t>
  </si>
  <si>
    <t xml:space="preserve">Yellow Areas indicate hours not related to #1 repair</t>
  </si>
  <si>
    <t xml:space="preserve">Open/access blade/close</t>
  </si>
  <si>
    <t xml:space="preserve">PROJECT MANAGER</t>
  </si>
  <si>
    <t xml:space="preserve">TECHNICAL DIRECTOR</t>
  </si>
  <si>
    <t xml:space="preserve">GENERAL FOREMAN</t>
  </si>
  <si>
    <t xml:space="preserve">FOREMAN</t>
  </si>
  <si>
    <t xml:space="preserve">MILLWRIGHTS</t>
  </si>
  <si>
    <t xml:space="preserve">  DATE</t>
  </si>
  <si>
    <t xml:space="preserve">UNIT</t>
  </si>
  <si>
    <t xml:space="preserve">TS#</t>
  </si>
  <si>
    <t xml:space="preserve">ST</t>
  </si>
  <si>
    <t xml:space="preserve">OT</t>
  </si>
  <si>
    <t xml:space="preserve">DT</t>
  </si>
  <si>
    <t xml:space="preserve">  OT</t>
  </si>
  <si>
    <t xml:space="preserve">    OT</t>
  </si>
  <si>
    <t xml:space="preserve"> DT</t>
  </si>
  <si>
    <t xml:space="preserve">Unit #2</t>
  </si>
  <si>
    <t xml:space="preserve">IGV's</t>
  </si>
  <si>
    <t xml:space="preserve">Alignmt. Adjust. 50% of time</t>
  </si>
  <si>
    <t xml:space="preserve">RATE</t>
  </si>
  <si>
    <t xml:space="preserve">BILLED AMOUNT</t>
  </si>
  <si>
    <t xml:space="preserve">No. Days</t>
  </si>
  <si>
    <t xml:space="preserve">Rate:</t>
  </si>
  <si>
    <t xml:space="preserve">No. Trucks:</t>
  </si>
  <si>
    <t xml:space="preserve">TOOL USAGE: No. Shifts:</t>
  </si>
  <si>
    <t xml:space="preserve">Install U/L Stationary Vanes</t>
  </si>
  <si>
    <t xml:space="preserve">CHK</t>
  </si>
  <si>
    <t xml:space="preserve">Unrelated or Overscope of repair work</t>
  </si>
  <si>
    <t xml:space="preserve">Per Diem</t>
  </si>
  <si>
    <t xml:space="preserve">Days</t>
  </si>
  <si>
    <t xml:space="preserve">Unit #2, Compressor blading, alignment or IGV's work </t>
  </si>
  <si>
    <t xml:space="preserve">Compressor blading &amp; alignment work</t>
  </si>
  <si>
    <t xml:space="preserve">Unit #2 work before &amp; after 6/23/00</t>
  </si>
  <si>
    <t xml:space="preserve">Unit #2 work after 6/23/00</t>
  </si>
  <si>
    <t xml:space="preserve">Unit #3 work after 6/23/00</t>
  </si>
  <si>
    <t xml:space="preserve">Work after 7/23/00</t>
  </si>
  <si>
    <t xml:space="preserve">Per Diem Days</t>
  </si>
  <si>
    <t xml:space="preserve">Total Hours</t>
  </si>
  <si>
    <t xml:space="preserve">TotalAmount</t>
  </si>
  <si>
    <t xml:space="preserve">Deductions for Policy Eclusion</t>
  </si>
  <si>
    <t xml:space="preserve">6/21/00 to 6/23/00</t>
  </si>
  <si>
    <t xml:space="preserve">7/13/00 to 7/23/00</t>
  </si>
  <si>
    <t xml:space="preserve">Tool Usage 14 Shifts</t>
  </si>
  <si>
    <t xml:space="preserve">Truck Usage 15 days x 2 Trucks</t>
  </si>
  <si>
    <t xml:space="preserve">Truck Usage</t>
  </si>
  <si>
    <t xml:space="preserve">n/a</t>
  </si>
  <si>
    <t xml:space="preserve">Per Diem Charges</t>
  </si>
  <si>
    <t xml:space="preserve">Nights</t>
  </si>
  <si>
    <t xml:space="preserve">per Night</t>
  </si>
  <si>
    <t xml:space="preserve">Total Subcontracts &amp; Vendor Purchases</t>
  </si>
  <si>
    <t xml:space="preserve">50% of Total</t>
  </si>
  <si>
    <t xml:space="preserve">Total Estimate for all work during open/closing</t>
  </si>
  <si>
    <t xml:space="preserve">50% Credit for work not associated with work,</t>
  </si>
  <si>
    <t xml:space="preserve">but associated with resulting damages</t>
  </si>
  <si>
    <t xml:space="preserve">Net Deduction</t>
  </si>
  <si>
    <t xml:space="preserve">SCHEDULE 1 (C)</t>
  </si>
  <si>
    <t xml:space="preserve">$80 Per man/per Night - Nights</t>
  </si>
  <si>
    <t xml:space="preserve">Credit for overscope/unrelated work</t>
  </si>
  <si>
    <t xml:space="preserve">Related to improper alignment</t>
  </si>
  <si>
    <t xml:space="preserve">-</t>
  </si>
  <si>
    <t xml:space="preserve">Item #</t>
  </si>
  <si>
    <t xml:space="preserve">Category</t>
  </si>
  <si>
    <t xml:space="preserve">Vendor</t>
  </si>
  <si>
    <t xml:space="preserve">Description</t>
  </si>
  <si>
    <t xml:space="preserve">Invoice #</t>
  </si>
  <si>
    <t xml:space="preserve">Invoice Amt.</t>
  </si>
  <si>
    <t xml:space="preserve">Mark-up 15%</t>
  </si>
  <si>
    <t xml:space="preserve">Billed</t>
  </si>
  <si>
    <t xml:space="preserve">Deducted</t>
  </si>
  <si>
    <t xml:space="preserve">Grainger</t>
  </si>
  <si>
    <t xml:space="preserve">Disc</t>
  </si>
  <si>
    <t xml:space="preserve">t32-279751-3</t>
  </si>
  <si>
    <t xml:space="preserve">Misc.</t>
  </si>
  <si>
    <t xml:space="preserve">931-102124-1</t>
  </si>
  <si>
    <t xml:space="preserve">Mill File</t>
  </si>
  <si>
    <t xml:space="preserve">931-150484-0</t>
  </si>
  <si>
    <t xml:space="preserve">Brushes</t>
  </si>
  <si>
    <t xml:space="preserve">931-221090-0</t>
  </si>
  <si>
    <t xml:space="preserve">931-302607-3</t>
  </si>
  <si>
    <t xml:space="preserve">Mill File, cutting fluid</t>
  </si>
  <si>
    <t xml:space="preserve">931-313371-3</t>
  </si>
  <si>
    <t xml:space="preserve">931-348438-9</t>
  </si>
  <si>
    <t xml:space="preserve">931-630697-7</t>
  </si>
  <si>
    <t xml:space="preserve">Disc Pad</t>
  </si>
  <si>
    <t xml:space="preserve">973-541134-1</t>
  </si>
  <si>
    <t xml:space="preserve">Grainger (credit)</t>
  </si>
  <si>
    <t xml:space="preserve">046-499195-4</t>
  </si>
  <si>
    <t xml:space="preserve">Disc Pad Holder</t>
  </si>
  <si>
    <t xml:space="preserve">046-569008-9</t>
  </si>
  <si>
    <t xml:space="preserve">Monroe Auto Supply</t>
  </si>
  <si>
    <t xml:space="preserve">MSC</t>
  </si>
  <si>
    <t xml:space="preserve">Corporate Express</t>
  </si>
  <si>
    <t xml:space="preserve">Tools</t>
  </si>
  <si>
    <t xml:space="preserve">Material Freight</t>
  </si>
  <si>
    <t xml:space="preserve">Transport Unlimited</t>
  </si>
  <si>
    <t xml:space="preserve">WJ Casey</t>
  </si>
  <si>
    <t xml:space="preserve">Applied lndust Technolog</t>
  </si>
  <si>
    <t xml:space="preserve">Ball Bearings</t>
  </si>
  <si>
    <t xml:space="preserve">Filters</t>
  </si>
  <si>
    <t xml:space="preserve">046-096352-3</t>
  </si>
  <si>
    <t xml:space="preserve">059-096354-2</t>
  </si>
  <si>
    <t xml:space="preserve">Taps</t>
  </si>
  <si>
    <t xml:space="preserve">931-221091-8</t>
  </si>
  <si>
    <t xml:space="preserve">973-545656-9</t>
  </si>
  <si>
    <t xml:space="preserve">046-318198-2</t>
  </si>
  <si>
    <t xml:space="preserve">Houston Dynamic Serv</t>
  </si>
  <si>
    <t xml:space="preserve">Brass Seal Segments</t>
  </si>
  <si>
    <t xml:space="preserve">Magnaflux</t>
  </si>
  <si>
    <t xml:space="preserve">Aero Case</t>
  </si>
  <si>
    <t xml:space="preserve">Helicoil</t>
  </si>
  <si>
    <t xml:space="preserve">Gaskets</t>
  </si>
  <si>
    <t xml:space="preserve">0-Ring Stock</t>
  </si>
  <si>
    <t xml:space="preserve">Powerhouse Tools</t>
  </si>
  <si>
    <t xml:space="preserve">Tightwire Alignment</t>
  </si>
  <si>
    <t xml:space="preserve">Subcontract</t>
  </si>
  <si>
    <t xml:space="preserve">Boyne Consulting Grp</t>
  </si>
  <si>
    <t xml:space="preserve">Engineering</t>
  </si>
  <si>
    <t xml:space="preserve">50% during alignment Adjustments</t>
  </si>
  <si>
    <t xml:space="preserve">Global Field Machining</t>
  </si>
  <si>
    <t xml:space="preserve">Machining at job site</t>
  </si>
  <si>
    <t xml:space="preserve">Associated with Mis-alignment</t>
  </si>
  <si>
    <t xml:space="preserve">HSB Services</t>
  </si>
  <si>
    <t xml:space="preserve">Load Coupling</t>
  </si>
  <si>
    <t xml:space="preserve">Why?</t>
  </si>
  <si>
    <t xml:space="preserve">Prime Machine</t>
  </si>
  <si>
    <t xml:space="preserve">Alignment Services</t>
  </si>
  <si>
    <t xml:space="preserve">Pennsylvania Tool Sales</t>
  </si>
  <si>
    <t xml:space="preserve">Pump Rental</t>
  </si>
  <si>
    <t xml:space="preserve">1094817-01</t>
  </si>
  <si>
    <t xml:space="preserve">Before Loss Period</t>
  </si>
  <si>
    <t xml:space="preserve">1097031-01</t>
  </si>
  <si>
    <t xml:space="preserve">1099034-01</t>
  </si>
  <si>
    <t xml:space="preserve">Total Columns</t>
  </si>
  <si>
    <t xml:space="preserve">SCHEDULE 2</t>
  </si>
  <si>
    <t xml:space="preserve">Invoice #NN4-68559</t>
  </si>
  <si>
    <t xml:space="preserve">Full Stationary Blade Set for Compressor</t>
  </si>
  <si>
    <t xml:space="preserve">5 of 19 rows damaged/73%</t>
  </si>
  <si>
    <t xml:space="preserve">Invoice #NN4-68560</t>
  </si>
  <si>
    <t xml:space="preserve">2 week Expediting of shipment of stationary blades</t>
  </si>
  <si>
    <t xml:space="preserve">Invoice #NN4-70253</t>
  </si>
  <si>
    <t xml:space="preserve">Full Rotor Blade Set for Compressor</t>
  </si>
  <si>
    <t xml:space="preserve">Rows 15, 16, 17 Damaged</t>
  </si>
  <si>
    <t xml:space="preserve">Blades</t>
  </si>
  <si>
    <t xml:space="preserve">Cost per Row</t>
  </si>
  <si>
    <t xml:space="preserve">Row </t>
  </si>
  <si>
    <t xml:space="preserve">Spacer Kit</t>
  </si>
  <si>
    <t xml:space="preserve">Deduction per Claim revision/J. Bonano -01/03/01</t>
  </si>
  <si>
    <t xml:space="preserve">General Electric - Totals</t>
  </si>
  <si>
    <t xml:space="preserve">Invoice #201201</t>
  </si>
  <si>
    <t xml:space="preserve">Stub Shaft - No damage to original - Changed per GE directive</t>
  </si>
  <si>
    <t xml:space="preserve">Invoice #201149</t>
  </si>
  <si>
    <t xml:space="preserve">Turning Gear reducer</t>
  </si>
  <si>
    <t xml:space="preserve">Invoice #013214</t>
  </si>
  <si>
    <t xml:space="preserve">Shop work on turbine casing, third stages nozzles, &amp; first stage buckets</t>
  </si>
  <si>
    <t xml:space="preserve">Deductions</t>
  </si>
  <si>
    <t xml:space="preserve">Compressor case crack repair</t>
  </si>
  <si>
    <t xml:space="preserve">2nd Stage Down Stream Deflection (DSD) Modification</t>
  </si>
  <si>
    <t xml:space="preserve">Turbine Rotor Repairs</t>
  </si>
  <si>
    <t xml:space="preserve">1st Stage Bucket Anti-rock Coating</t>
  </si>
  <si>
    <t xml:space="preserve">1st Stage Bucket Tang &amp; Ledge seal coat</t>
  </si>
  <si>
    <t xml:space="preserve">1st Stage Bucket Extended keys</t>
  </si>
  <si>
    <t xml:space="preserve">Turbine Case Repairs - DSD Mod/Dowel pins</t>
  </si>
  <si>
    <t xml:space="preserve">Manufacture 2 Borescope Plugs</t>
  </si>
  <si>
    <t xml:space="preserve">Weld/Align 2nd Stage Borescope Hole</t>
  </si>
  <si>
    <t xml:space="preserve">1st Stage Shroud Block Metering Pins</t>
  </si>
  <si>
    <t xml:space="preserve">3rd Stage Nozzle, Down Stream Deflection (DSD) Modification</t>
  </si>
  <si>
    <t xml:space="preserve">1st Stage Bucket Repairs - Recoat (Transition Pieces, Class B, TBC)</t>
  </si>
  <si>
    <t xml:space="preserve">Invoice #013215</t>
  </si>
  <si>
    <t xml:space="preserve">Rotor Repair</t>
  </si>
  <si>
    <t xml:space="preserve">Install Blades - Stages #1 to #16</t>
  </si>
  <si>
    <t xml:space="preserve">Un-stack/Re-stack</t>
  </si>
  <si>
    <t xml:space="preserve">Plazma Cut Blade Roots</t>
  </si>
  <si>
    <t xml:space="preserve">Wedge Weld Repair</t>
  </si>
  <si>
    <t xml:space="preserve">Stage 16 Aft Rabbit HVOF repair</t>
  </si>
  <si>
    <t xml:space="preserve">Aft Stub Rabbit, peen &amp; remachine</t>
  </si>
  <si>
    <t xml:space="preserve">Record Wheel OD for Site</t>
  </si>
  <si>
    <t xml:space="preserve">Replace five Compr. Wheel patch rings</t>
  </si>
  <si>
    <t xml:space="preserve">Aft Stub Run-outs, Verify good</t>
  </si>
  <si>
    <t xml:space="preserve">Options</t>
  </si>
  <si>
    <t xml:space="preserve">Coat Stages #1 to #16</t>
  </si>
  <si>
    <t xml:space="preserve">Compressor Through Bolts, 1 set</t>
  </si>
  <si>
    <t xml:space="preserve">Early Completion</t>
  </si>
  <si>
    <t xml:space="preserve">Work</t>
  </si>
  <si>
    <t xml:space="preserve">Preco - Cont.</t>
  </si>
  <si>
    <t xml:space="preserve">Invoice #013218</t>
  </si>
  <si>
    <t xml:space="preserve">Repair of First Stage Buckets</t>
  </si>
  <si>
    <t xml:space="preserve">Supply five new buckets</t>
  </si>
  <si>
    <t xml:space="preserve">Invoice # RTA07042000</t>
  </si>
  <si>
    <t xml:space="preserve">Repair and technical support for unit #1 turbine at Enron’s Doyle</t>
  </si>
  <si>
    <t xml:space="preserve">Energy Project.</t>
  </si>
  <si>
    <t xml:space="preserve">(1) Rebabbitt &amp; machine 10" x 8" bearing</t>
  </si>
  <si>
    <t xml:space="preserve">(2) Rebabbitt &amp; machine 14" x 13 1/2" bearing</t>
  </si>
  <si>
    <t xml:space="preserve">Including manufacturing new alum. seals</t>
  </si>
  <si>
    <t xml:space="preserve">(3) Rebabbitt &amp; machine 11" tilt pad bearing</t>
  </si>
  <si>
    <t xml:space="preserve">(4) Assemble thrust bearing &amp; record all measurements to</t>
  </si>
  <si>
    <t xml:space="preserve">ensure they meet specification. Polish each thrust plate</t>
  </si>
  <si>
    <t xml:space="preserve">and mark.</t>
  </si>
  <si>
    <t xml:space="preserve">(5) Clean &amp; polish brass seal rings.</t>
  </si>
  <si>
    <t xml:space="preserve">(6) Outer generator oil deflector. Remove, remanufacture &amp;</t>
  </si>
  <si>
    <t xml:space="preserve">replace seals.</t>
  </si>
  <si>
    <t xml:space="preserve">(7) Manufacture 32 unsulating seals for generator hydrogen</t>
  </si>
  <si>
    <t xml:space="preserve">  sealing system.</t>
  </si>
  <si>
    <t xml:space="preserve">(8) Technical support &amp; expenses for part procurement. Rotating</t>
  </si>
  <si>
    <t xml:space="preserve">  &amp; stationary blades.</t>
  </si>
  <si>
    <t xml:space="preserve">  Hours @ $80.00</t>
  </si>
  <si>
    <t xml:space="preserve">  Expenses</t>
  </si>
  <si>
    <t xml:space="preserve">(9) Machine barrel of compressor stationary per drawing of</t>
  </si>
  <si>
    <t xml:space="preserve">Elliott Turbine.</t>
  </si>
  <si>
    <t xml:space="preserve">  Machine barrel of compressor to obtain roundness and</t>
  </si>
  <si>
    <t xml:space="preserve">return to Doyle Project site.</t>
  </si>
  <si>
    <t xml:space="preserve">RTA - Cont.</t>
  </si>
  <si>
    <t xml:space="preserve">Invoice # RTA07232000</t>
  </si>
  <si>
    <t xml:space="preserve">(1) Repair Thrust Bearing Shim</t>
  </si>
  <si>
    <t xml:space="preserve">(2) Repair 10 HP Motor for Turning</t>
  </si>
  <si>
    <t xml:space="preserve">Gear</t>
  </si>
  <si>
    <t xml:space="preserve">(3) Engineering Support</t>
  </si>
  <si>
    <t xml:space="preserve">Items 1 to 3</t>
  </si>
  <si>
    <t xml:space="preserve">Remove stationary blades at Site/Cut out</t>
  </si>
  <si>
    <t xml:space="preserve">Note: Leave in in full/trade off for inspection of Blades/NDT</t>
  </si>
  <si>
    <t xml:space="preserve">Equipment Rental</t>
  </si>
  <si>
    <t xml:space="preserve">Invoice #1-1059-00</t>
  </si>
  <si>
    <t xml:space="preserve">Shipping Charges for Stage 1 Nozzle &amp; Buckets</t>
  </si>
  <si>
    <t xml:space="preserve">Overscope of Repair</t>
  </si>
  <si>
    <t xml:space="preserve">Invoice #1-1055-00</t>
  </si>
  <si>
    <t xml:space="preserve">Stage 1 Nozzle</t>
  </si>
  <si>
    <t xml:space="preserve">Overscope of Repair/No credit for existing</t>
  </si>
  <si>
    <t xml:space="preserve">Stage 1 Buckets</t>
  </si>
  <si>
    <t xml:space="preserve">SCHEDULE 3 - NEPCO</t>
  </si>
  <si>
    <t xml:space="preserve">Change Order #24</t>
  </si>
  <si>
    <t xml:space="preserve">DESCRIPTION</t>
  </si>
  <si>
    <t xml:space="preserve">LABOR</t>
  </si>
  <si>
    <t xml:space="preserve">MAT'L</t>
  </si>
  <si>
    <t xml:space="preserve">EQUIP</t>
  </si>
  <si>
    <t xml:space="preserve">COSTCODE</t>
  </si>
  <si>
    <t xml:space="preserve">QTY</t>
  </si>
  <si>
    <t xml:space="preserve"> HRS</t>
  </si>
  <si>
    <t xml:space="preserve">MATERIALS</t>
  </si>
  <si>
    <t xml:space="preserve">CRAFTLABOR</t>
  </si>
  <si>
    <t xml:space="preserve">HR</t>
  </si>
  <si>
    <t xml:space="preserve">No support/duplicate time sheets</t>
  </si>
  <si>
    <t xml:space="preserve">Unrelated</t>
  </si>
  <si>
    <t xml:space="preserve">6/14/00 to 7/23/00</t>
  </si>
  <si>
    <t xml:space="preserve">7/24/00 to 8/20/00</t>
  </si>
  <si>
    <t xml:space="preserve">EQUIPMENT RENTAL</t>
  </si>
  <si>
    <t xml:space="preserve">Subtotal: Direct Cost:</t>
  </si>
  <si>
    <t xml:space="preserve">Ind. Labor 10%</t>
  </si>
  <si>
    <t xml:space="preserve">Total Allowed</t>
  </si>
  <si>
    <t xml:space="preserve">Payroll Burdens (26% of $149,756.40)</t>
  </si>
  <si>
    <t xml:space="preserve">x 26%=</t>
  </si>
  <si>
    <t xml:space="preserve">Deuction Payroll Burdens</t>
  </si>
  <si>
    <t xml:space="preserve">Gr . lns.($0.94/ hr)</t>
  </si>
  <si>
    <t xml:space="preserve">Net Hours</t>
  </si>
  <si>
    <t xml:space="preserve">Per diem ($3/hr)</t>
  </si>
  <si>
    <t xml:space="preserve">Constr. Equip/Maint.($3/hr)</t>
  </si>
  <si>
    <t xml:space="preserve">SmaI tools( $1.25/hr)</t>
  </si>
  <si>
    <t xml:space="preserve">w 8,343.00</t>
  </si>
  <si>
    <t xml:space="preserve">Withdrawn</t>
  </si>
  <si>
    <t xml:space="preserve">Field Salaried Staff Supervision</t>
  </si>
  <si>
    <t xml:space="preserve">Total per time sheets</t>
  </si>
  <si>
    <t xml:space="preserve">After Loss</t>
  </si>
  <si>
    <t xml:space="preserve">Startup Labor and Supervision</t>
  </si>
  <si>
    <t xml:space="preserve">Staff - Per Diem</t>
  </si>
  <si>
    <t xml:space="preserve">After Loss/unrelt'd</t>
  </si>
  <si>
    <t xml:space="preserve">Staff - OH (52%)</t>
  </si>
  <si>
    <t xml:space="preserve">??</t>
  </si>
  <si>
    <t xml:space="preserve">After Loss/unrelt'd - Staff Related</t>
  </si>
  <si>
    <t xml:space="preserve">(Add Blue to arrive at $141,899 multiple by 52% = 73,787.70)</t>
  </si>
  <si>
    <t xml:space="preserve">Change Order #24-2</t>
  </si>
  <si>
    <t xml:space="preserve">Fixing of Hydrogen Leaks -  Not Associated with work scope</t>
  </si>
  <si>
    <t xml:space="preserve">Payroll Burdens (26%)</t>
  </si>
  <si>
    <t xml:space="preserve">Charged Above on Estimate</t>
  </si>
  <si>
    <t xml:space="preserve">Exclusion Deductions Based on Nets</t>
  </si>
  <si>
    <t xml:space="preserve">50% of Materials</t>
  </si>
  <si>
    <t xml:space="preserve">Open Labor 6/14/00 to 6/23/00</t>
  </si>
  <si>
    <t xml:space="preserve">Closed Labor 7/13/00 to 7/23/00</t>
  </si>
  <si>
    <t xml:space="preserve">50% of Rentals</t>
  </si>
  <si>
    <t xml:space="preserve">Open/Close Hours</t>
  </si>
  <si>
    <t xml:space="preserve"> = </t>
  </si>
  <si>
    <t xml:space="preserve"> x50%</t>
  </si>
  <si>
    <t xml:space="preserve">Allow 50% credit on deductions for other work completed at the time</t>
  </si>
  <si>
    <t xml:space="preserve">SCHEDULE 3 (NEPCO Materials)</t>
  </si>
  <si>
    <t xml:space="preserve">Greenleaf</t>
  </si>
  <si>
    <t xml:space="preserve">55 Drums</t>
  </si>
  <si>
    <t xml:space="preserve">Bolts, etc. associated</t>
  </si>
  <si>
    <t xml:space="preserve">Cubix</t>
  </si>
  <si>
    <t xml:space="preserve">Emissions Units #1, #2 &amp; #3</t>
  </si>
  <si>
    <t xml:space="preserve">Withdrawn - 4,662.50</t>
  </si>
  <si>
    <t xml:space="preserve">The Atlantic Group</t>
  </si>
  <si>
    <t xml:space="preserve">Leak Detection - Hydrogen - generator section</t>
  </si>
  <si>
    <t xml:space="preserve">Columbus Fire &amp; Safety</t>
  </si>
  <si>
    <t xml:space="preserve">CO2 System </t>
  </si>
  <si>
    <t xml:space="preserve">BOC Gases</t>
  </si>
  <si>
    <t xml:space="preserve">CO2, etc.</t>
  </si>
  <si>
    <t xml:space="preserve">Consolidated Pipe Supply Co., Inc.</t>
  </si>
  <si>
    <t xml:space="preserve">Benchmark Services, Inc.</t>
  </si>
  <si>
    <t xml:space="preserve">Oil Flush/Hydroblast</t>
  </si>
  <si>
    <t xml:space="preserve">F&amp;M Mafco, Inc.</t>
  </si>
  <si>
    <t xml:space="preserve">Various cleaning products</t>
  </si>
  <si>
    <t xml:space="preserve">West Building Supply</t>
  </si>
  <si>
    <t xml:space="preserve">Lumber</t>
  </si>
  <si>
    <t xml:space="preserve">El Paso Valve &amp; Fitting Co.</t>
  </si>
  <si>
    <t xml:space="preserve">Kelly's Machine Shop</t>
  </si>
  <si>
    <t xml:space="preserve">Credit - Missing Dowels, bolts</t>
  </si>
  <si>
    <t xml:space="preserve"> Grainger</t>
  </si>
  <si>
    <t xml:space="preserve">Small tools, etc.</t>
  </si>
  <si>
    <t xml:space="preserve">RAM Tool Supply</t>
  </si>
  <si>
    <t xml:space="preserve">Small tools, tarp, bolts, etc.</t>
  </si>
  <si>
    <t xml:space="preserve">McMaster-Carr Supply Co.</t>
  </si>
  <si>
    <t xml:space="preserve">Tools, Small tools, etc.</t>
  </si>
  <si>
    <t xml:space="preserve">Bower Fabrication Services, Inc.</t>
  </si>
  <si>
    <t xml:space="preserve">SC Motor, Shims, IGV work</t>
  </si>
  <si>
    <t xml:space="preserve">Credit IGV &amp; Shims</t>
  </si>
  <si>
    <t xml:space="preserve">Misc. Suppliers</t>
  </si>
  <si>
    <t xml:space="preserve">Applied Industrial</t>
  </si>
  <si>
    <t xml:space="preserve">Gear reducer/7-31-00</t>
  </si>
  <si>
    <t xml:space="preserve">Withdrawn 7,318.77</t>
  </si>
  <si>
    <t xml:space="preserve">Barnett Co.</t>
  </si>
  <si>
    <t xml:space="preserve">1.25 Reducing Regul</t>
  </si>
  <si>
    <t xml:space="preserve">Withdrawn 1,594.79</t>
  </si>
  <si>
    <t xml:space="preserve">Garrett Glass</t>
  </si>
  <si>
    <t xml:space="preserve">Replace glass on 4-27-00</t>
  </si>
  <si>
    <t xml:space="preserve">Withdrawn 500.00</t>
  </si>
  <si>
    <t xml:space="preserve">Before Loss</t>
  </si>
  <si>
    <t xml:space="preserve">K-Tek</t>
  </si>
  <si>
    <t xml:space="preserve">Level Gauge side mount - Gen.</t>
  </si>
  <si>
    <t xml:space="preserve">Withdrawn, 4,898.00</t>
  </si>
  <si>
    <t xml:space="preserve">Gen. Repairs</t>
  </si>
  <si>
    <t xml:space="preserve">Georgia Security</t>
  </si>
  <si>
    <t xml:space="preserve">Security - 6-00</t>
  </si>
  <si>
    <t xml:space="preserve">Part of "site" expense /should not be charged back</t>
  </si>
  <si>
    <t xml:space="preserve">Alltel</t>
  </si>
  <si>
    <t xml:space="preserve">Telephone</t>
  </si>
  <si>
    <t xml:space="preserve">How was Allocation made?</t>
  </si>
  <si>
    <t xml:space="preserve">AT&amp;T</t>
  </si>
  <si>
    <t xml:space="preserve">Snap-On Tools</t>
  </si>
  <si>
    <t xml:space="preserve">Small Tools</t>
  </si>
  <si>
    <t xml:space="preserve">Turbine Tech</t>
  </si>
  <si>
    <t xml:space="preserve">Thermocouples</t>
  </si>
  <si>
    <t xml:space="preserve">Why Damaged?</t>
  </si>
  <si>
    <t xml:space="preserve">Baker Tanks</t>
  </si>
  <si>
    <t xml:space="preserve">7,000 G SS Tank</t>
  </si>
  <si>
    <t xml:space="preserve">Consolidated Electrical</t>
  </si>
  <si>
    <t xml:space="preserve">J-Box</t>
  </si>
  <si>
    <t xml:space="preserve">Rentals</t>
  </si>
  <si>
    <t xml:space="preserve">Month Rate</t>
  </si>
  <si>
    <t xml:space="preserve">#</t>
  </si>
  <si>
    <t xml:space="preserve">Duration</t>
  </si>
  <si>
    <t xml:space="preserve">Cost</t>
  </si>
  <si>
    <t xml:space="preserve">Forklift</t>
  </si>
  <si>
    <t xml:space="preserve">6/22 to 7/24</t>
  </si>
  <si>
    <t xml:space="preserve">45 Ton Crane</t>
  </si>
  <si>
    <t xml:space="preserve">6/23 to 7/23</t>
  </si>
  <si>
    <t xml:space="preserve">175 Ton Crane</t>
  </si>
  <si>
    <t xml:space="preserve">Per Invoice</t>
  </si>
  <si>
    <t xml:space="preserve">40x60 Tent</t>
  </si>
  <si>
    <t xml:space="preserve">6/21 to 7/24</t>
  </si>
  <si>
    <t xml:space="preserve">Parts washing station</t>
  </si>
  <si>
    <t xml:space="preserve">Conex 2 Storage Trailers</t>
  </si>
  <si>
    <t xml:space="preserve">6/23 to 8/23</t>
  </si>
  <si>
    <t xml:space="preserve">Plazma Cutters</t>
  </si>
  <si>
    <t xml:space="preserve">6/21 to 7/05</t>
  </si>
  <si>
    <t xml:space="preserve">20x60 Office Trailer</t>
  </si>
  <si>
    <t xml:space="preserve">Sewage Tanks</t>
  </si>
  <si>
    <t xml:space="preserve">Light Poles</t>
  </si>
  <si>
    <t xml:space="preserve">Generator</t>
  </si>
  <si>
    <t xml:space="preserve">Air Compressor</t>
  </si>
  <si>
    <t xml:space="preserve">Welding Machines</t>
  </si>
  <si>
    <t xml:space="preserve">6/12 to 7/11</t>
  </si>
  <si>
    <t xml:space="preserve">Borescope</t>
  </si>
  <si>
    <t xml:space="preserve">5/12 to 7/11</t>
  </si>
  <si>
    <t xml:space="preserve">Hydralic Torque Wrenches</t>
  </si>
  <si>
    <t xml:space="preserve">6/13 to 7/14</t>
  </si>
  <si>
    <t xml:space="preserve">SCHEDULE 3 (L-Office)</t>
  </si>
  <si>
    <t xml:space="preserve">NEPCO OFFICE LABOR</t>
  </si>
  <si>
    <t xml:space="preserve">Staff Employee</t>
  </si>
  <si>
    <t xml:space="preserve">Danny Sawyer</t>
  </si>
  <si>
    <t xml:space="preserve">Dean Steels</t>
  </si>
  <si>
    <t xml:space="preserve">Elton Caines</t>
  </si>
  <si>
    <t xml:space="preserve">Dee Jefferson</t>
  </si>
  <si>
    <t xml:space="preserve">Susan Heil</t>
  </si>
  <si>
    <t xml:space="preserve">Mike Croall</t>
  </si>
  <si>
    <t xml:space="preserve">Ray Soto</t>
  </si>
  <si>
    <t xml:space="preserve">William Beckley</t>
  </si>
  <si>
    <t xml:space="preserve">Frances Allen</t>
  </si>
  <si>
    <t xml:space="preserve">Don Graves</t>
  </si>
  <si>
    <t xml:space="preserve">Jody Lynch</t>
  </si>
  <si>
    <t xml:space="preserve">Cliff Murphy</t>
  </si>
  <si>
    <t xml:space="preserve">Week Total</t>
  </si>
  <si>
    <t xml:space="preserve">After Repairs</t>
  </si>
  <si>
    <t xml:space="preserve">Week</t>
  </si>
  <si>
    <t xml:space="preserve">8/14/2000 - to 8/20</t>
  </si>
  <si>
    <t xml:space="preserve">8/21/2000 - to 8/27</t>
  </si>
  <si>
    <t xml:space="preserve">8/28/2000 - to 8/31</t>
  </si>
  <si>
    <t xml:space="preserve">Total</t>
  </si>
  <si>
    <t xml:space="preserve">SCHEDULE 3 (L-Start)</t>
  </si>
  <si>
    <t xml:space="preserve">NEPCO START-UP LABOR</t>
  </si>
  <si>
    <t xml:space="preserve">Start-up Staff Employee</t>
  </si>
  <si>
    <t xml:space="preserve">Ken Welch</t>
  </si>
  <si>
    <t xml:space="preserve">Jerry Brawley</t>
  </si>
  <si>
    <t xml:space="preserve">Kevin Sandifer</t>
  </si>
  <si>
    <t xml:space="preserve">Shane Guidry</t>
  </si>
  <si>
    <t xml:space="preserve">William Morris</t>
  </si>
  <si>
    <t xml:space="preserve">Eddie Avant</t>
  </si>
  <si>
    <t xml:space="preserve">Frank Beaston</t>
  </si>
  <si>
    <t xml:space="preserve">Ed Cappellucci</t>
  </si>
  <si>
    <t xml:space="preserve">Terry Sharpe</t>
  </si>
  <si>
    <t xml:space="preserve">After Loss Period</t>
  </si>
  <si>
    <t xml:space="preserve">Schedule 3 (L-Craft by Trade)</t>
  </si>
  <si>
    <t xml:space="preserve">Deduction % </t>
  </si>
  <si>
    <t xml:space="preserve">  </t>
  </si>
  <si>
    <t xml:space="preserve">W.C. Beckley</t>
  </si>
  <si>
    <t xml:space="preserve">James Eller</t>
  </si>
  <si>
    <t xml:space="preserve">Millwright</t>
  </si>
  <si>
    <t xml:space="preserve">Mervin Preezy</t>
  </si>
  <si>
    <t xml:space="preserve">Kenneth Hancock</t>
  </si>
  <si>
    <t xml:space="preserve">Vicente Sanmartin</t>
  </si>
  <si>
    <t xml:space="preserve">Troy Gore</t>
  </si>
  <si>
    <t xml:space="preserve">Robert Trahan</t>
  </si>
  <si>
    <t xml:space="preserve">Ironworker</t>
  </si>
  <si>
    <t xml:space="preserve">John Jackson</t>
  </si>
  <si>
    <t xml:space="preserve">Eloy Montanez</t>
  </si>
  <si>
    <t xml:space="preserve">Dewey Perkins</t>
  </si>
  <si>
    <t xml:space="preserve">James Jones</t>
  </si>
  <si>
    <t xml:space="preserve">Jacqueline Middleton</t>
  </si>
  <si>
    <t xml:space="preserve">Darryl Daggett</t>
  </si>
  <si>
    <t xml:space="preserve">Dewayne Lee</t>
  </si>
  <si>
    <t xml:space="preserve">Welder Combo</t>
  </si>
  <si>
    <t xml:space="preserve">David Swanson</t>
  </si>
  <si>
    <t xml:space="preserve">Cecil Wells</t>
  </si>
  <si>
    <t xml:space="preserve">Jose Jimnez</t>
  </si>
  <si>
    <t xml:space="preserve">Allen Robinson</t>
  </si>
  <si>
    <t xml:space="preserve">Benjamin Munguia</t>
  </si>
  <si>
    <t xml:space="preserve">Carl Johnson</t>
  </si>
  <si>
    <t xml:space="preserve">Kenneth Poole</t>
  </si>
  <si>
    <t xml:space="preserve">David Purdy</t>
  </si>
  <si>
    <t xml:space="preserve">Shawn Ransford</t>
  </si>
  <si>
    <t xml:space="preserve">Keith Baker</t>
  </si>
  <si>
    <t xml:space="preserve">Electrician</t>
  </si>
  <si>
    <t xml:space="preserve">Tim Langley</t>
  </si>
  <si>
    <t xml:space="preserve">Charles Howell - Night</t>
  </si>
  <si>
    <t xml:space="preserve">Eric Barquist</t>
  </si>
  <si>
    <t xml:space="preserve">Fausto Ocampo</t>
  </si>
  <si>
    <t xml:space="preserve">Harry Garza</t>
  </si>
  <si>
    <t xml:space="preserve">Sergio Melendez</t>
  </si>
  <si>
    <t xml:space="preserve">Ben Brown</t>
  </si>
  <si>
    <t xml:space="preserve">Adel Whitaker</t>
  </si>
  <si>
    <t xml:space="preserve">Gaetano Tagliaferro</t>
  </si>
  <si>
    <t xml:space="preserve">Antino Blair</t>
  </si>
  <si>
    <t xml:space="preserve">Kiyoshi Iahihara</t>
  </si>
  <si>
    <t xml:space="preserve">Cody Rexwinkle</t>
  </si>
  <si>
    <t xml:space="preserve">Donald Clark</t>
  </si>
  <si>
    <t xml:space="preserve">Harold Beckley</t>
  </si>
  <si>
    <t xml:space="preserve">Sherry Moody</t>
  </si>
  <si>
    <t xml:space="preserve">Clifton Cooper</t>
  </si>
  <si>
    <t xml:space="preserve">Pipefitter</t>
  </si>
  <si>
    <t xml:space="preserve">Jimmy Martin</t>
  </si>
  <si>
    <t xml:space="preserve">Chris Richardson</t>
  </si>
  <si>
    <t xml:space="preserve">Instrument</t>
  </si>
  <si>
    <t xml:space="preserve">Jose G. Medrano</t>
  </si>
  <si>
    <t xml:space="preserve">Santiago Medrano</t>
  </si>
  <si>
    <t xml:space="preserve">Billy Tanner</t>
  </si>
  <si>
    <t xml:space="preserve">James Turner - Night</t>
  </si>
  <si>
    <t xml:space="preserve">Ed Harris</t>
  </si>
  <si>
    <t xml:space="preserve">Operator</t>
  </si>
  <si>
    <t xml:space="preserve">Carol Walker</t>
  </si>
  <si>
    <t xml:space="preserve">Vickie Reed</t>
  </si>
  <si>
    <t xml:space="preserve">Sherry Edgren</t>
  </si>
  <si>
    <t xml:space="preserve">Non-manual Clr.</t>
  </si>
  <si>
    <t xml:space="preserve">Tool Room/ Warehouse</t>
  </si>
  <si>
    <t xml:space="preserve">Guillermina Alvarado</t>
  </si>
  <si>
    <t xml:space="preserve">Saul Barrera</t>
  </si>
  <si>
    <t xml:space="preserve">Laborer</t>
  </si>
  <si>
    <t xml:space="preserve">Albert Medrano</t>
  </si>
  <si>
    <t xml:space="preserve">Marcos Medrano</t>
  </si>
  <si>
    <t xml:space="preserve">Andres Ramirez</t>
  </si>
  <si>
    <t xml:space="preserve">Carpenter</t>
  </si>
  <si>
    <t xml:space="preserve">Rodbuster</t>
  </si>
  <si>
    <t xml:space="preserve">Daily Total Claimed</t>
  </si>
  <si>
    <t xml:space="preserve">Daily Total Allowed</t>
  </si>
  <si>
    <t xml:space="preserve">A</t>
  </si>
  <si>
    <t xml:space="preserve">&lt;#2 -0</t>
  </si>
  <si>
    <t xml:space="preserve">&lt; #3P</t>
  </si>
  <si>
    <t xml:space="preserve">T</t>
  </si>
  <si>
    <t xml:space="preserve">Exclude All after this date</t>
  </si>
  <si>
    <t xml:space="preserve">Total Open/Close Hours</t>
  </si>
  <si>
    <t xml:space="preserve">Avg. per Day</t>
  </si>
  <si>
    <t xml:space="preserve">Deduction Hours 6/14 to 7/23</t>
  </si>
  <si>
    <t xml:space="preserve">Below</t>
  </si>
  <si>
    <t xml:space="preserve">G</t>
  </si>
  <si>
    <t xml:space="preserve">Totals with Duplications added</t>
  </si>
  <si>
    <t xml:space="preserve">Duplications</t>
  </si>
  <si>
    <t xml:space="preserve">For Claim:</t>
  </si>
  <si>
    <t xml:space="preserve">All Red Hours at 100%</t>
  </si>
  <si>
    <t xml:space="preserve">All Blue Hours at 50%</t>
  </si>
  <si>
    <t xml:space="preserve">Overstatement or unassociated to repair scope hours of various Craft Trades </t>
  </si>
  <si>
    <t xml:space="preserve">All Deductions</t>
  </si>
  <si>
    <t xml:space="preserve">SCHEDULE 4</t>
  </si>
  <si>
    <t xml:space="preserve">Total on site extended time:</t>
  </si>
  <si>
    <t xml:space="preserve">Invoice #92</t>
  </si>
  <si>
    <t xml:space="preserve">Doyle Unit #1 Compressor Related Repair, (Time &amp; Expenses from July 1 thru End of Project):</t>
  </si>
  <si>
    <t xml:space="preserve">PSM Charge Code: Doyle TDI Unit#1</t>
  </si>
  <si>
    <t xml:space="preserve">On-Site Work (Approved Time Sheets)</t>
  </si>
  <si>
    <t xml:space="preserve">Employee</t>
  </si>
  <si>
    <t xml:space="preserve">Rate</t>
  </si>
  <si>
    <t xml:space="preserve">Hours</t>
  </si>
  <si>
    <t xml:space="preserve">Amount</t>
  </si>
  <si>
    <t xml:space="preserve">ON-SITE</t>
  </si>
  <si>
    <t xml:space="preserve">Yellow Indicates likely involvement in redesign/modifications</t>
  </si>
  <si>
    <t xml:space="preserve">Dan McArthur</t>
  </si>
  <si>
    <t xml:space="preserve"> @</t>
  </si>
  <si>
    <t xml:space="preserve">WE 6/24</t>
  </si>
  <si>
    <t xml:space="preserve">WE 7/1</t>
  </si>
  <si>
    <t xml:space="preserve">Peter Winch</t>
  </si>
  <si>
    <t xml:space="preserve">Doug Whitney</t>
  </si>
  <si>
    <t xml:space="preserve">WE 6/17</t>
  </si>
  <si>
    <t xml:space="preserve">Tim te.Riele</t>
  </si>
  <si>
    <t xml:space="preserve">Mike Hickman</t>
  </si>
  <si>
    <t xml:space="preserve">William Harmon</t>
  </si>
  <si>
    <t xml:space="preserve">Mike Klossner</t>
  </si>
  <si>
    <t xml:space="preserve">Brian Hulse</t>
  </si>
  <si>
    <t xml:space="preserve">Month of 6/00</t>
  </si>
  <si>
    <t xml:space="preserve">On Site for 1/2 month</t>
  </si>
  <si>
    <t xml:space="preserve">OFF-SITE</t>
  </si>
  <si>
    <t xml:space="preserve">Bob Kraft</t>
  </si>
  <si>
    <t xml:space="preserve">Clay Moran</t>
  </si>
  <si>
    <t xml:space="preserve">Vince Mauling</t>
  </si>
  <si>
    <t xml:space="preserve">Brian Mack</t>
  </si>
  <si>
    <t xml:space="preserve">Brian Robideau</t>
  </si>
  <si>
    <t xml:space="preserve">(Contractor)</t>
  </si>
  <si>
    <t xml:space="preserve">Laura Heron </t>
  </si>
  <si>
    <t xml:space="preserve">Richard Ramirez</t>
  </si>
  <si>
    <t xml:space="preserve">Travel Expenses @ Cost</t>
  </si>
  <si>
    <t xml:space="preserve">No Documentation</t>
  </si>
  <si>
    <t xml:space="preserve">Exclude Phone/$609.55</t>
  </si>
  <si>
    <t xml:space="preserve">Turbine &amp; Power Plant Solutions, Inc.</t>
  </si>
  <si>
    <t xml:space="preserve">Tim t.Riele</t>
  </si>
  <si>
    <t xml:space="preserve">$969.15 before Loss/unrelated</t>
  </si>
  <si>
    <t xml:space="preserve">Bill Harmon</t>
  </si>
  <si>
    <t xml:space="preserve">WE 6/1</t>
  </si>
  <si>
    <t xml:space="preserve">WE 6/9</t>
  </si>
  <si>
    <t xml:space="preserve">WE 6/3</t>
  </si>
  <si>
    <t xml:space="preserve">&gt;&gt;&gt;&gt;&gt;</t>
  </si>
  <si>
    <t xml:space="preserve">&lt;&lt;Actual Total Adjustment&gt;&gt;</t>
  </si>
  <si>
    <t xml:space="preserve">$5,991.20 before Loss - Withdrawn</t>
  </si>
  <si>
    <t xml:space="preserve">Subtotal Travel</t>
  </si>
  <si>
    <t xml:space="preserve">Net</t>
  </si>
  <si>
    <t xml:space="preserve">Parts Plus Shipping</t>
  </si>
  <si>
    <t xml:space="preserve">Shipment 6/30</t>
  </si>
  <si>
    <t xml:space="preserve">Shipment 7/5</t>
  </si>
  <si>
    <t xml:space="preserve">Flame Detector $4,030.00</t>
  </si>
  <si>
    <t xml:space="preserve">Shipment 7/6</t>
  </si>
  <si>
    <t xml:space="preserve">Ignitor tips/Ignitor cable</t>
  </si>
  <si>
    <t xml:space="preserve">Freight Plus 10%</t>
  </si>
  <si>
    <t xml:space="preserve">McMaster Carr Part</t>
  </si>
  <si>
    <t xml:space="preserve">FARO Technologies</t>
  </si>
  <si>
    <t xml:space="preserve">Subtotal Parts and Shipping</t>
  </si>
  <si>
    <t xml:space="preserve">Grand Total Due</t>
  </si>
  <si>
    <t xml:space="preserve">Invoice #95</t>
  </si>
  <si>
    <t xml:space="preserve">Vince Martling</t>
  </si>
  <si>
    <t xml:space="preserve">WE 7/22</t>
  </si>
  <si>
    <t xml:space="preserve">WE 7/29</t>
  </si>
  <si>
    <t xml:space="preserve">WE 7/8</t>
  </si>
  <si>
    <t xml:space="preserve">WE 7/15</t>
  </si>
  <si>
    <t xml:space="preserve">Dan McAuhur</t>
  </si>
  <si>
    <t xml:space="preserve">WE 8/5</t>
  </si>
  <si>
    <t xml:space="preserve">Mike K.lossner</t>
  </si>
  <si>
    <t xml:space="preserve">Month of 7/00</t>
  </si>
  <si>
    <t xml:space="preserve"> 50% withdrawn</t>
  </si>
  <si>
    <t xml:space="preserve">Tim te. Ride</t>
  </si>
  <si>
    <t xml:space="preserve">Tim te. Riele</t>
  </si>
  <si>
    <t xml:space="preserve">Greg Woughter</t>
  </si>
  <si>
    <t xml:space="preserve">Ignitor Cable</t>
  </si>
  <si>
    <t xml:space="preserve">Dinner charged by both GLC/JB &amp; PSM/PW -who actually Paid??</t>
  </si>
  <si>
    <t xml:space="preserve">WE 7/7</t>
  </si>
  <si>
    <t xml:space="preserve">Water Bill icld</t>
  </si>
  <si>
    <t xml:space="preserve">WE 7/14</t>
  </si>
  <si>
    <t xml:space="preserve">Power Bill icld</t>
  </si>
  <si>
    <t xml:space="preserve">WE 7/21</t>
  </si>
  <si>
    <t xml:space="preserve">WE 7/28</t>
  </si>
  <si>
    <t xml:space="preserve">Phone/Water</t>
  </si>
  <si>
    <t xml:space="preserve">WE 8/4</t>
  </si>
  <si>
    <t xml:space="preserve">Cable</t>
  </si>
  <si>
    <t xml:space="preserve">June Rent</t>
  </si>
  <si>
    <t xml:space="preserve">75% Charged</t>
  </si>
  <si>
    <t xml:space="preserve">July Rent</t>
  </si>
  <si>
    <t xml:space="preserve">August Rent</t>
  </si>
  <si>
    <t xml:space="preserve">Withdrawn $1,520.00</t>
  </si>
  <si>
    <t xml:space="preserve">Film Develp.</t>
  </si>
  <si>
    <t xml:space="preserve">Duplicate/from 1st</t>
  </si>
  <si>
    <t xml:space="preserve">Shipment 7/7</t>
  </si>
  <si>
    <t xml:space="preserve">Shipment 9/13</t>
  </si>
  <si>
    <t xml:space="preserve">Optimization Analysis Plus 10%</t>
  </si>
  <si>
    <t xml:space="preserve">Arnctek Sensor Plus 10%</t>
  </si>
  <si>
    <t xml:space="preserve">McMaster Carr Pipe Sealant Plus 10%</t>
  </si>
  <si>
    <t xml:space="preserve">Truck Rental </t>
  </si>
  <si>
    <t xml:space="preserve">Invoice #109</t>
  </si>
  <si>
    <t xml:space="preserve">Joe Bateman-Martin Metlabs, Inc.</t>
  </si>
  <si>
    <t xml:space="preserve">Late Charge</t>
  </si>
  <si>
    <t xml:space="preserve">Assume for Metallurgical Exams</t>
  </si>
  <si>
    <t xml:space="preserve">Peter Winch/Site Phone</t>
  </si>
  <si>
    <t xml:space="preserve">Allow 50% - Telephone</t>
  </si>
  <si>
    <t xml:space="preserve">Mike Hickman/Expenses</t>
  </si>
  <si>
    <t xml:space="preserve">Duplicate Expense/Demobilize would have </t>
  </si>
  <si>
    <t xml:space="preserve">occurred anyway. 8/5 to8/25</t>
  </si>
  <si>
    <t xml:space="preserve">Invoice #124</t>
  </si>
  <si>
    <t xml:space="preserve">Power Support/Parts</t>
  </si>
  <si>
    <t xml:space="preserve">#201133</t>
  </si>
  <si>
    <t xml:space="preserve">For What??</t>
  </si>
  <si>
    <t xml:space="preserve">After Repairs were complete/ 9/18/00</t>
  </si>
  <si>
    <t xml:space="preserve">#201136</t>
  </si>
  <si>
    <t xml:space="preserve">After Repairs were complete/ 8/30/00</t>
  </si>
  <si>
    <t xml:space="preserve">SCHEDULE 5</t>
  </si>
  <si>
    <t xml:space="preserve">Invoice #88</t>
  </si>
  <si>
    <t xml:space="preserve">Dave Kristich - 1/2 Month@</t>
  </si>
  <si>
    <t xml:space="preserve">Travel Expenses</t>
  </si>
  <si>
    <t xml:space="preserve">Invoice #99</t>
  </si>
  <si>
    <t xml:space="preserve">Dave Kristich - 1 Month@</t>
  </si>
  <si>
    <t xml:space="preserve">On monthly, retainer Involvement needs to be qualified as to full time on project &amp; Retainer arrangements.</t>
  </si>
  <si>
    <t xml:space="preserve">JOHN R. BONANNO</t>
  </si>
  <si>
    <t xml:space="preserve">Rate - $85 ST / $103 OT</t>
  </si>
  <si>
    <t xml:space="preserve">W/E</t>
  </si>
  <si>
    <t xml:space="preserve">ST$</t>
  </si>
  <si>
    <t xml:space="preserve">OT$</t>
  </si>
  <si>
    <t xml:space="preserve">WAGES</t>
  </si>
  <si>
    <t xml:space="preserve">EXPENSES</t>
  </si>
  <si>
    <t xml:space="preserve">WEEKLY TL</t>
  </si>
  <si>
    <t xml:space="preserve">6/25</t>
  </si>
  <si>
    <t xml:space="preserve">7/2</t>
  </si>
  <si>
    <t xml:space="preserve">7/9</t>
  </si>
  <si>
    <t xml:space="preserve">7/16</t>
  </si>
  <si>
    <t xml:space="preserve">7/23</t>
  </si>
  <si>
    <t xml:space="preserve">7/30</t>
  </si>
  <si>
    <t xml:space="preserve">8/6</t>
  </si>
  <si>
    <t xml:space="preserve">8/13</t>
  </si>
  <si>
    <t xml:space="preserve">8/20</t>
  </si>
  <si>
    <t xml:space="preserve">8/27</t>
  </si>
  <si>
    <t xml:space="preserve">9/3</t>
  </si>
  <si>
    <t xml:space="preserve">9/10</t>
  </si>
  <si>
    <t xml:space="preserve">9/17</t>
  </si>
  <si>
    <t xml:space="preserve">9/24</t>
  </si>
  <si>
    <t xml:space="preserve">10/1</t>
  </si>
  <si>
    <t xml:space="preserve">10/8</t>
  </si>
  <si>
    <t xml:space="preserve">Gand Totals</t>
  </si>
  <si>
    <t xml:space="preserve">50% of all expenses - deducted as other job responsiblities involved</t>
  </si>
  <si>
    <t xml:space="preserve">JERRY CAMPBELL</t>
  </si>
  <si>
    <t xml:space="preserve">Rate - $80 ST / $98 OT</t>
  </si>
  <si>
    <t xml:space="preserve">Invoice #023</t>
  </si>
  <si>
    <t xml:space="preserve">Invoice #022</t>
  </si>
  <si>
    <t xml:space="preserve">To be Invoiced</t>
  </si>
  <si>
    <t xml:space="preserve">50% of John Bonano withdrawn, 8/6 to 10/8</t>
  </si>
  <si>
    <t xml:space="preserve">Kelly McKinzie - Enron Employee</t>
  </si>
  <si>
    <t xml:space="preserve">EECC 3rd Party QA - Oilfield Materials Consultants - OMC @ Preco -Houston</t>
  </si>
  <si>
    <t xml:space="preserve">6/16/00 to 8/04/00</t>
  </si>
  <si>
    <t xml:space="preserve">No Support</t>
  </si>
  <si>
    <t xml:space="preserve">SCHEDULE 1 (L - Men)</t>
  </si>
  <si>
    <t xml:space="preserve">Labor, number of men charged to site</t>
  </si>
  <si>
    <t xml:space="preserve">PROJECT MANAGER (1)</t>
  </si>
  <si>
    <t xml:space="preserve">TECHNICAL DIRECTOR (1)</t>
  </si>
  <si>
    <t xml:space="preserve">GENERAL FOREMAN (1)</t>
  </si>
  <si>
    <t xml:space="preserve">FOREMAN (2)</t>
  </si>
  <si>
    <t xml:space="preserve">MILLWRIGHTS (13)</t>
  </si>
  <si>
    <t xml:space="preserve">TOTAL (18)</t>
  </si>
  <si>
    <t xml:space="preserve">MEN ST</t>
  </si>
  <si>
    <t xml:space="preserve">MEN OT/DT</t>
  </si>
  <si>
    <t xml:space="preserve">MILLWRIGHTS (15)</t>
  </si>
  <si>
    <t xml:space="preserve">TOTAL (15)</t>
  </si>
  <si>
    <t xml:space="preserve">Kenny Hopper </t>
  </si>
  <si>
    <t xml:space="preserve">George King</t>
  </si>
  <si>
    <t xml:space="preserve">Charged 68 of 72 hrs.</t>
  </si>
  <si>
    <t xml:space="preserve"> 7-7/8/9</t>
  </si>
  <si>
    <t xml:space="preserve">SHIFT DIFFERENTIAL: NONE PER AGREEMENT</t>
  </si>
  <si>
    <t xml:space="preserve">LABOR COST - NIGHT SHIFT</t>
  </si>
  <si>
    <t xml:space="preserve">All Units</t>
  </si>
</sst>
</file>

<file path=xl/styles.xml><?xml version="1.0" encoding="utf-8"?>
<styleSheet xmlns="http://schemas.openxmlformats.org/spreadsheetml/2006/main">
  <numFmts count="25">
    <numFmt numFmtId="164" formatCode="General"/>
    <numFmt numFmtId="165" formatCode="[$-409]#,##0.00_);[RED]\(#,##0.00\)"/>
    <numFmt numFmtId="166" formatCode="_(* #,##0.00_);_(* \(#,##0.00\);_(* \-??_);_(@_)"/>
    <numFmt numFmtId="167" formatCode="\$#,##0_);&quot;($&quot;#,##0\)"/>
    <numFmt numFmtId="168" formatCode="\$#,##0.00_);[RED]&quot;($&quot;#,##0.00\)"/>
    <numFmt numFmtId="169" formatCode="_(\$* #,##0.00_);_(\$* \(#,##0.00\);_(\$* \-??_);_(@_)"/>
    <numFmt numFmtId="170" formatCode="0%"/>
    <numFmt numFmtId="171" formatCode="[$-409]m/d/yyyy"/>
    <numFmt numFmtId="172" formatCode="0.00"/>
    <numFmt numFmtId="173" formatCode="#,##0.0_);[RED]\(#,##0.0\)"/>
    <numFmt numFmtId="174" formatCode="#,##0"/>
    <numFmt numFmtId="175" formatCode="0.00%"/>
    <numFmt numFmtId="176" formatCode="0.0%"/>
    <numFmt numFmtId="177" formatCode="\$* #,##0.00;[RED]&quot; ($&quot;* #,##0.00\)"/>
    <numFmt numFmtId="178" formatCode="[$-409]#,##0_);[RED]\(#,##0\)"/>
    <numFmt numFmtId="179" formatCode="[$-409]d\-mmm"/>
    <numFmt numFmtId="180" formatCode="#,##0.0"/>
    <numFmt numFmtId="181" formatCode="0.0"/>
    <numFmt numFmtId="182" formatCode="[$-409]#,##0.00_);\(#,##0.00\)"/>
    <numFmt numFmtId="183" formatCode="#,##0.000_);[RED]\(#,##0.000\)"/>
    <numFmt numFmtId="184" formatCode="#,##0.00"/>
    <numFmt numFmtId="185" formatCode="0.0_);\(0.0\)"/>
    <numFmt numFmtId="186" formatCode="0.00_);\(0.00\)"/>
    <numFmt numFmtId="187" formatCode="\$#,##0"/>
    <numFmt numFmtId="188" formatCode="_(* #,##0.0_);_(* \(#,##0.0\);_(* \-?_);_(@_)"/>
  </numFmts>
  <fonts count="34">
    <font>
      <sz val="10"/>
      <name val="Arial"/>
      <family val="0"/>
    </font>
    <font>
      <sz val="10"/>
      <name val="Arial"/>
      <family val="0"/>
    </font>
    <font>
      <sz val="10"/>
      <name val="Arial"/>
      <family val="0"/>
    </font>
    <font>
      <sz val="10"/>
      <name val="Arial"/>
      <family val="0"/>
    </font>
    <font>
      <sz val="12"/>
      <name val="Arial"/>
      <family val="0"/>
    </font>
    <font>
      <sz val="12"/>
      <name val="Arial"/>
      <family val="2"/>
    </font>
    <font>
      <b val="true"/>
      <u val="single"/>
      <sz val="13"/>
      <name val="Arial"/>
      <family val="2"/>
    </font>
    <font>
      <i val="true"/>
      <sz val="16"/>
      <name val="Arial"/>
      <family val="2"/>
    </font>
    <font>
      <b val="true"/>
      <u val="single"/>
      <sz val="12"/>
      <name val="Arial"/>
      <family val="2"/>
    </font>
    <font>
      <sz val="8"/>
      <name val="Arial"/>
      <family val="2"/>
    </font>
    <font>
      <sz val="11"/>
      <name val="Arial"/>
      <family val="2"/>
    </font>
    <font>
      <sz val="9"/>
      <name val="Arial"/>
      <family val="2"/>
    </font>
    <font>
      <sz val="10"/>
      <name val="Arial"/>
      <family val="2"/>
    </font>
    <font>
      <b val="true"/>
      <sz val="12"/>
      <name val="Arial"/>
      <family val="2"/>
    </font>
    <font>
      <b val="true"/>
      <u val="single"/>
      <sz val="8"/>
      <name val="Arial"/>
      <family val="2"/>
    </font>
    <font>
      <sz val="10"/>
      <color rgb="FF0000FF"/>
      <name val="Arial"/>
      <family val="2"/>
    </font>
    <font>
      <b val="true"/>
      <sz val="10"/>
      <name val="Arial"/>
      <family val="2"/>
    </font>
    <font>
      <b val="true"/>
      <u val="single"/>
      <sz val="10"/>
      <name val="Arial"/>
      <family val="2"/>
    </font>
    <font>
      <b val="true"/>
      <sz val="10"/>
      <color rgb="FF0000FF"/>
      <name val="Arial"/>
      <family val="2"/>
    </font>
    <font>
      <u val="single"/>
      <sz val="10"/>
      <name val="Arial"/>
      <family val="2"/>
    </font>
    <font>
      <sz val="10"/>
      <color rgb="FFFF0000"/>
      <name val="Arial"/>
      <family val="2"/>
    </font>
    <font>
      <u val="single"/>
      <sz val="11"/>
      <name val="Arial"/>
      <family val="2"/>
    </font>
    <font>
      <b val="true"/>
      <sz val="11"/>
      <name val="Arial"/>
      <family val="2"/>
    </font>
    <font>
      <b val="true"/>
      <u val="single"/>
      <sz val="11"/>
      <name val="Arial"/>
      <family val="2"/>
    </font>
    <font>
      <u val="single"/>
      <sz val="8"/>
      <name val="Arial"/>
      <family val="2"/>
    </font>
    <font>
      <u val="single"/>
      <sz val="10"/>
      <name val="Arial"/>
      <family val="0"/>
    </font>
    <font>
      <u val="single"/>
      <sz val="8"/>
      <name val="Arial"/>
      <family val="0"/>
    </font>
    <font>
      <sz val="8"/>
      <name val="Arial"/>
      <family val="0"/>
    </font>
    <font>
      <sz val="9"/>
      <color rgb="FFFF0000"/>
      <name val="Arial"/>
      <family val="0"/>
    </font>
    <font>
      <i val="true"/>
      <sz val="10"/>
      <name val="Arial"/>
      <family val="2"/>
    </font>
    <font>
      <sz val="11"/>
      <color rgb="FF0000FF"/>
      <name val="Arial"/>
      <family val="2"/>
    </font>
    <font>
      <u val="single"/>
      <sz val="10"/>
      <color rgb="FFFF0000"/>
      <name val="Arial"/>
      <family val="2"/>
    </font>
    <font>
      <sz val="10"/>
      <color rgb="FFFF0000"/>
      <name val="Arial"/>
      <family val="0"/>
    </font>
    <font>
      <b val="true"/>
      <sz val="10"/>
      <name val="Arial"/>
      <family val="0"/>
    </font>
  </fonts>
  <fills count="5">
    <fill>
      <patternFill patternType="none"/>
    </fill>
    <fill>
      <patternFill patternType="gray125"/>
    </fill>
    <fill>
      <patternFill patternType="solid">
        <fgColor rgb="FFFFFF00"/>
        <bgColor rgb="FFFFFF00"/>
      </patternFill>
    </fill>
    <fill>
      <patternFill patternType="solid">
        <fgColor rgb="FFCCFFFF"/>
        <bgColor rgb="FFCCFFFF"/>
      </patternFill>
    </fill>
    <fill>
      <patternFill patternType="solid">
        <fgColor rgb="FFFFCC99"/>
        <bgColor rgb="FFC0C0C0"/>
      </patternFill>
    </fill>
  </fills>
  <borders count="11">
    <border diagonalUp="false" diagonalDown="false">
      <left/>
      <right/>
      <top/>
      <bottom/>
      <diagonal/>
    </border>
    <border diagonalUp="false" diagonalDown="false">
      <left/>
      <right/>
      <top/>
      <bottom style="thin"/>
      <diagonal/>
    </border>
    <border diagonalUp="false" diagonalDown="false">
      <left/>
      <right/>
      <top/>
      <bottom style="double"/>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right/>
      <top style="thin"/>
      <bottom style="thin"/>
      <diagonal/>
    </border>
  </borders>
  <cellStyleXfs count="3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69" fontId="0" fillId="0" borderId="0" applyFont="true" applyBorder="false" applyAlignment="false" applyProtection="false"/>
    <xf numFmtId="42" fontId="1" fillId="0" borderId="0" applyFont="true" applyBorder="false" applyAlignment="false" applyProtection="false"/>
    <xf numFmtId="170" fontId="0"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453">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8" applyFont="true" applyBorder="false" applyAlignment="false" applyProtection="false">
      <alignment horizontal="general" vertical="bottom" textRotation="0" wrapText="false" indent="0" shrinkToFit="false"/>
      <protection locked="true" hidden="false"/>
    </xf>
    <xf numFmtId="165" fontId="5" fillId="0" borderId="0" xfId="28" applyFont="true" applyBorder="false" applyAlignment="false" applyProtection="false">
      <alignment horizontal="general" vertical="bottom" textRotation="0" wrapText="false" indent="0" shrinkToFit="false"/>
      <protection locked="true" hidden="false"/>
    </xf>
    <xf numFmtId="164" fontId="5" fillId="0" borderId="0" xfId="25" applyFont="true" applyBorder="false" applyAlignment="false" applyProtection="false">
      <alignment horizontal="general" vertical="bottom" textRotation="0" wrapText="false" indent="0" shrinkToFit="false"/>
      <protection locked="true" hidden="false"/>
    </xf>
    <xf numFmtId="165" fontId="5" fillId="0" borderId="0" xfId="25" applyFont="true" applyBorder="false" applyAlignment="fals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5" fontId="5" fillId="0" borderId="0" xfId="25" applyFont="true" applyBorder="false" applyAlignment="true" applyProtection="false">
      <alignment horizontal="left"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28" applyFont="true" applyBorder="false" applyAlignment="true" applyProtection="false">
      <alignment horizontal="center" vertical="bottom" textRotation="0" wrapText="false" indent="0" shrinkToFit="false"/>
      <protection locked="true" hidden="false"/>
    </xf>
    <xf numFmtId="164" fontId="5" fillId="0" borderId="0" xfId="25" applyFont="true" applyBorder="false" applyAlignment="true" applyProtection="false">
      <alignment horizontal="center" vertical="bottom" textRotation="0" wrapText="false" indent="0" shrinkToFit="false"/>
      <protection locked="true" hidden="false"/>
    </xf>
    <xf numFmtId="165" fontId="5" fillId="0" borderId="0" xfId="25" applyFont="true" applyBorder="false" applyAlignment="true" applyProtection="false">
      <alignment horizontal="center" vertical="bottom" textRotation="0" wrapText="false" indent="0" shrinkToFit="false"/>
      <protection locked="true" hidden="false"/>
    </xf>
    <xf numFmtId="164" fontId="6" fillId="0" borderId="0" xfId="28" applyFont="true" applyBorder="false" applyAlignment="true" applyProtection="false">
      <alignment horizontal="general" vertical="bottom" textRotation="0" wrapText="false" indent="0" shrinkToFit="false"/>
      <protection locked="true" hidden="false"/>
    </xf>
    <xf numFmtId="164" fontId="5" fillId="0" borderId="0" xfId="28" applyFont="true" applyBorder="false" applyAlignment="true" applyProtection="false">
      <alignment horizontal="center" vertical="bottom" textRotation="0" wrapText="false" indent="0" shrinkToFit="false"/>
      <protection locked="true" hidden="false"/>
    </xf>
    <xf numFmtId="165" fontId="7" fillId="0" borderId="0" xfId="28" applyFont="true" applyBorder="false" applyAlignment="true" applyProtection="false">
      <alignment horizontal="center" vertical="bottom" textRotation="0" wrapText="false" indent="0" shrinkToFit="false"/>
      <protection locked="true" hidden="false"/>
    </xf>
    <xf numFmtId="165" fontId="5" fillId="0" borderId="0" xfId="28" applyFont="true" applyBorder="false" applyAlignment="true" applyProtection="false">
      <alignment horizontal="center" vertical="bottom" textRotation="0" wrapText="false" indent="0" shrinkToFit="false"/>
      <protection locked="true" hidden="false"/>
    </xf>
    <xf numFmtId="164" fontId="0" fillId="0" borderId="0" xfId="28" applyFont="false" applyBorder="false" applyAlignment="false" applyProtection="false">
      <alignment horizontal="general" vertical="bottom" textRotation="0" wrapText="false" indent="0" shrinkToFit="false"/>
      <protection locked="true" hidden="false"/>
    </xf>
    <xf numFmtId="164" fontId="8" fillId="0" borderId="0" xfId="28" applyFont="true" applyBorder="false" applyAlignment="false" applyProtection="false">
      <alignment horizontal="general" vertical="bottom" textRotation="0" wrapText="false" indent="0" shrinkToFit="false"/>
      <protection locked="true" hidden="false"/>
    </xf>
    <xf numFmtId="165" fontId="8" fillId="0" borderId="0" xfId="28" applyFont="true" applyBorder="false" applyAlignment="true" applyProtection="false">
      <alignment horizontal="right" vertical="bottom" textRotation="0" wrapText="true" indent="0" shrinkToFit="false"/>
      <protection locked="true" hidden="false"/>
    </xf>
    <xf numFmtId="167" fontId="8" fillId="0" borderId="0" xfId="25" applyFont="true" applyBorder="false" applyAlignment="true" applyProtection="false">
      <alignment horizontal="right" vertical="bottom" textRotation="0" wrapText="true" indent="0" shrinkToFit="false"/>
      <protection locked="true" hidden="false"/>
    </xf>
    <xf numFmtId="164" fontId="5" fillId="0" borderId="0" xfId="28" applyFont="true" applyBorder="false" applyAlignment="true" applyProtection="false">
      <alignment horizontal="right" vertical="bottom" textRotation="0" wrapText="false" indent="0" shrinkToFit="false"/>
      <protection locked="true" hidden="false"/>
    </xf>
    <xf numFmtId="165" fontId="5" fillId="0" borderId="0" xfId="28" applyFont="true" applyBorder="false" applyAlignment="true" applyProtection="false">
      <alignment horizontal="right" vertical="bottom" textRotation="0" wrapText="false" indent="0" shrinkToFit="false"/>
      <protection locked="true" hidden="false"/>
    </xf>
    <xf numFmtId="168" fontId="9" fillId="0" borderId="0" xfId="28" applyFont="true" applyBorder="false" applyAlignment="true" applyProtection="false">
      <alignment horizontal="right" vertical="bottom" textRotation="0" wrapText="false" indent="0" shrinkToFit="false"/>
      <protection locked="true" hidden="false"/>
    </xf>
    <xf numFmtId="165" fontId="5" fillId="0" borderId="0" xfId="17" applyFont="true" applyBorder="true" applyAlignment="true" applyProtection="true">
      <alignment horizontal="right" vertical="bottom" textRotation="0" wrapText="false" indent="0" shrinkToFit="false"/>
      <protection locked="true" hidden="false"/>
    </xf>
    <xf numFmtId="164" fontId="4" fillId="0" borderId="0" xfId="27" applyFont="true" applyBorder="false" applyAlignment="false" applyProtection="false">
      <alignment horizontal="general" vertical="bottom" textRotation="0" wrapText="false" indent="0" shrinkToFit="false"/>
      <protection locked="true" hidden="false"/>
    </xf>
    <xf numFmtId="165" fontId="5" fillId="0" borderId="1" xfId="17" applyFont="true" applyBorder="true" applyAlignment="true" applyProtection="true">
      <alignment horizontal="general" vertical="bottom" textRotation="0" wrapText="false" indent="0" shrinkToFit="false"/>
      <protection locked="true" hidden="false"/>
    </xf>
    <xf numFmtId="165" fontId="5" fillId="0" borderId="1" xfId="15" applyFont="true" applyBorder="true" applyAlignment="true" applyProtection="true">
      <alignment horizontal="right" vertical="top" textRotation="0" wrapText="false" indent="0" shrinkToFit="false"/>
      <protection locked="true" hidden="false"/>
    </xf>
    <xf numFmtId="165" fontId="5" fillId="0" borderId="1" xfId="28" applyFont="true" applyBorder="true" applyAlignment="false" applyProtection="false">
      <alignment horizontal="general" vertical="bottom" textRotation="0" wrapText="false" indent="0" shrinkToFit="false"/>
      <protection locked="true" hidden="false"/>
    </xf>
    <xf numFmtId="168" fontId="10" fillId="0" borderId="0" xfId="28" applyFont="true" applyBorder="false" applyAlignment="true" applyProtection="false">
      <alignment horizontal="right" vertical="bottom" textRotation="0" wrapText="false" indent="0" shrinkToFit="false"/>
      <protection locked="true" hidden="false"/>
    </xf>
    <xf numFmtId="165" fontId="5" fillId="0" borderId="2" xfId="17" applyFont="true" applyBorder="true" applyAlignment="true" applyProtection="true">
      <alignment horizontal="general" vertical="bottom" textRotation="0" wrapText="false" indent="0" shrinkToFit="false"/>
      <protection locked="true" hidden="false"/>
    </xf>
    <xf numFmtId="165" fontId="5" fillId="0" borderId="2" xfId="28" applyFont="true" applyBorder="true" applyAlignment="false" applyProtection="false">
      <alignment horizontal="general" vertical="bottom" textRotation="0" wrapText="false" indent="0" shrinkToFit="false"/>
      <protection locked="true" hidden="false"/>
    </xf>
    <xf numFmtId="165" fontId="5" fillId="0" borderId="2" xfId="17" applyFont="true" applyBorder="true" applyAlignment="true" applyProtection="true">
      <alignment horizontal="right" vertical="bottom" textRotation="0" wrapText="false" indent="0" shrinkToFit="false"/>
      <protection locked="true" hidden="false"/>
    </xf>
    <xf numFmtId="166" fontId="9" fillId="0" borderId="0" xfId="28" applyFont="true" applyBorder="false" applyAlignment="true" applyProtection="false">
      <alignment horizontal="right" vertical="bottom" textRotation="0" wrapText="false" indent="0" shrinkToFit="false"/>
      <protection locked="true" hidden="false"/>
    </xf>
    <xf numFmtId="168" fontId="11" fillId="0" borderId="0" xfId="28" applyFont="true" applyBorder="false" applyAlignment="true" applyProtection="false">
      <alignment horizontal="right" vertical="bottom" textRotation="0" wrapText="false" indent="0" shrinkToFit="false"/>
      <protection locked="true" hidden="false"/>
    </xf>
    <xf numFmtId="165" fontId="5" fillId="0" borderId="2" xfId="28" applyFont="true" applyBorder="true" applyAlignment="true" applyProtection="false">
      <alignment horizontal="right" vertical="bottom" textRotation="0" wrapText="false" indent="0" shrinkToFit="false"/>
      <protection locked="true" hidden="false"/>
    </xf>
    <xf numFmtId="166" fontId="11" fillId="0" borderId="0" xfId="28" applyFont="true" applyBorder="false" applyAlignment="true" applyProtection="false">
      <alignment horizontal="right" vertical="bottom" textRotation="0" wrapText="false" indent="0" shrinkToFit="false"/>
      <protection locked="true" hidden="false"/>
    </xf>
    <xf numFmtId="165" fontId="5" fillId="0" borderId="0" xfId="28" applyFont="true" applyBorder="true" applyAlignment="true" applyProtection="false">
      <alignment horizontal="right" vertical="bottom" textRotation="0" wrapText="false" indent="0" shrinkToFit="false"/>
      <protection locked="true" hidden="false"/>
    </xf>
    <xf numFmtId="165" fontId="5" fillId="0" borderId="1" xfId="17" applyFont="true" applyBorder="true" applyAlignment="true" applyProtection="true">
      <alignment horizontal="right" vertical="bottom" textRotation="0" wrapText="false" indent="0" shrinkToFit="false"/>
      <protection locked="true" hidden="false"/>
    </xf>
    <xf numFmtId="164" fontId="12" fillId="0" borderId="0" xfId="0" applyFont="true" applyBorder="false" applyAlignment="true" applyProtection="false">
      <alignment horizontal="left" vertical="top" textRotation="0" wrapText="false" indent="0" shrinkToFit="false"/>
      <protection locked="true" hidden="false"/>
    </xf>
    <xf numFmtId="164" fontId="12" fillId="0" borderId="0" xfId="0" applyFont="true" applyBorder="false" applyAlignment="true" applyProtection="false">
      <alignment horizontal="general" vertical="top" textRotation="0" wrapText="false" indent="0" shrinkToFit="false"/>
      <protection locked="true" hidden="false"/>
    </xf>
    <xf numFmtId="165" fontId="12" fillId="0" borderId="0" xfId="0" applyFont="true" applyBorder="false" applyAlignment="true" applyProtection="false">
      <alignment horizontal="general" vertical="top" textRotation="0" wrapText="false" indent="0" shrinkToFit="false"/>
      <protection locked="true" hidden="false"/>
    </xf>
    <xf numFmtId="164" fontId="9" fillId="0" borderId="0" xfId="0" applyFont="true" applyBorder="false" applyAlignment="true" applyProtection="false">
      <alignment horizontal="general" vertical="top" textRotation="0" wrapText="false" indent="0" shrinkToFit="false"/>
      <protection locked="true" hidden="false"/>
    </xf>
    <xf numFmtId="164" fontId="8" fillId="0" borderId="0" xfId="0" applyFont="true" applyBorder="false" applyAlignment="true" applyProtection="false">
      <alignment horizontal="general" vertical="top" textRotation="0" wrapText="false" indent="0" shrinkToFit="false"/>
      <protection locked="true" hidden="false"/>
    </xf>
    <xf numFmtId="165" fontId="13" fillId="0" borderId="0" xfId="0" applyFont="true" applyBorder="false" applyAlignment="true" applyProtection="false">
      <alignment horizontal="general" vertical="top" textRotation="0" wrapText="false" indent="0" shrinkToFit="false"/>
      <protection locked="true" hidden="false"/>
    </xf>
    <xf numFmtId="164" fontId="8" fillId="0" borderId="0" xfId="0" applyFont="true" applyBorder="false" applyAlignment="true" applyProtection="false">
      <alignment horizontal="left" vertical="top" textRotation="0" wrapText="false" indent="0" shrinkToFit="false"/>
      <protection locked="true" hidden="false"/>
    </xf>
    <xf numFmtId="164" fontId="0" fillId="0" borderId="0" xfId="0" applyFont="false" applyBorder="false" applyAlignment="true" applyProtection="false">
      <alignment horizontal="left" vertical="top" textRotation="0" wrapText="false" indent="0" shrinkToFit="false"/>
      <protection locked="true" hidden="false"/>
    </xf>
    <xf numFmtId="165" fontId="8" fillId="0" borderId="0" xfId="0" applyFont="true" applyBorder="false" applyAlignment="true" applyProtection="false">
      <alignment horizontal="right" vertical="top" textRotation="0" wrapText="false" indent="0" shrinkToFit="false"/>
      <protection locked="true" hidden="false"/>
    </xf>
    <xf numFmtId="164" fontId="14" fillId="0" borderId="0" xfId="0" applyFont="true" applyBorder="false" applyAlignment="true" applyProtection="false">
      <alignment horizontal="general" vertical="top" textRotation="0" wrapText="false" indent="0" shrinkToFit="false"/>
      <protection locked="true" hidden="false"/>
    </xf>
    <xf numFmtId="164" fontId="12" fillId="0" borderId="0" xfId="0" applyFont="true" applyBorder="false" applyAlignment="true" applyProtection="false">
      <alignment horizontal="center" vertical="top" textRotation="0" wrapText="false" indent="0" shrinkToFit="false"/>
      <protection locked="true" hidden="false"/>
    </xf>
    <xf numFmtId="164" fontId="15" fillId="0" borderId="0" xfId="0" applyFont="true" applyBorder="false" applyAlignment="true" applyProtection="false">
      <alignment horizontal="left" vertical="top" textRotation="0" wrapText="false" indent="0" shrinkToFit="false"/>
      <protection locked="true" hidden="false"/>
    </xf>
    <xf numFmtId="164" fontId="15" fillId="0" borderId="0" xfId="0" applyFont="true" applyBorder="false" applyAlignment="true" applyProtection="false">
      <alignment horizontal="left" vertical="top" textRotation="0" wrapText="false" indent="0" shrinkToFit="false"/>
      <protection locked="true" hidden="false"/>
    </xf>
    <xf numFmtId="164" fontId="12" fillId="0" borderId="0" xfId="0" applyFont="true" applyBorder="false" applyAlignment="true" applyProtection="false">
      <alignment horizontal="left" vertical="top" textRotation="0" wrapText="false" indent="0" shrinkToFit="false"/>
      <protection locked="true" hidden="false"/>
    </xf>
    <xf numFmtId="164" fontId="15" fillId="0" borderId="0" xfId="0" applyFont="true" applyBorder="false" applyAlignment="true" applyProtection="false">
      <alignment horizontal="general" vertical="top" textRotation="0" wrapText="false" indent="0" shrinkToFit="false"/>
      <protection locked="true" hidden="false"/>
    </xf>
    <xf numFmtId="165" fontId="12" fillId="0" borderId="1" xfId="0" applyFont="true" applyBorder="true" applyAlignment="true" applyProtection="false">
      <alignment horizontal="general" vertical="top" textRotation="0" wrapText="false" indent="0" shrinkToFit="false"/>
      <protection locked="true" hidden="false"/>
    </xf>
    <xf numFmtId="164" fontId="16" fillId="0" borderId="0" xfId="0" applyFont="true" applyBorder="false" applyAlignment="true" applyProtection="false">
      <alignment horizontal="left" vertical="top" textRotation="0" wrapText="false" indent="0" shrinkToFit="false"/>
      <protection locked="true" hidden="false"/>
    </xf>
    <xf numFmtId="165" fontId="12" fillId="0" borderId="0" xfId="0" applyFont="true" applyBorder="false" applyAlignment="true" applyProtection="false">
      <alignment horizontal="right" vertical="top" textRotation="0" wrapText="false" indent="0" shrinkToFit="false"/>
      <protection locked="true" hidden="false"/>
    </xf>
    <xf numFmtId="165" fontId="12" fillId="0" borderId="0" xfId="0" applyFont="true" applyBorder="false" applyAlignment="true" applyProtection="false">
      <alignment horizontal="left" vertical="top" textRotation="0" wrapText="false" indent="0" shrinkToFit="false"/>
      <protection locked="true" hidden="false"/>
    </xf>
    <xf numFmtId="165" fontId="9" fillId="0" borderId="0" xfId="0" applyFont="true" applyBorder="false" applyAlignment="true" applyProtection="false">
      <alignment horizontal="general" vertical="top" textRotation="0" wrapText="false" indent="0" shrinkToFit="false"/>
      <protection locked="true" hidden="false"/>
    </xf>
    <xf numFmtId="164" fontId="12" fillId="0" borderId="0" xfId="0" applyFont="true" applyBorder="true" applyAlignment="true" applyProtection="false">
      <alignment horizontal="general" vertical="top" textRotation="0" wrapText="true" indent="0" shrinkToFit="false"/>
      <protection locked="true" hidden="false"/>
    </xf>
    <xf numFmtId="165" fontId="8" fillId="0" borderId="0" xfId="0" applyFont="true" applyBorder="false" applyAlignment="true" applyProtection="false">
      <alignment horizontal="right" vertical="top" textRotation="0" wrapText="true" indent="0" shrinkToFit="false"/>
      <protection locked="true" hidden="false"/>
    </xf>
    <xf numFmtId="164" fontId="12" fillId="0" borderId="0" xfId="0" applyFont="true" applyBorder="false" applyAlignment="true" applyProtection="false">
      <alignment horizontal="right" vertical="top" textRotation="0" wrapText="false" indent="0" shrinkToFit="false"/>
      <protection locked="true" hidden="false"/>
    </xf>
    <xf numFmtId="170" fontId="12" fillId="0" borderId="0" xfId="19" applyFont="true" applyBorder="true" applyAlignment="true" applyProtection="true">
      <alignment horizontal="general" vertical="top" textRotation="0" wrapText="fals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5" fontId="12"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left" vertical="top" textRotation="0" wrapText="false" indent="0" shrinkToFit="false"/>
      <protection locked="true" hidden="false"/>
    </xf>
    <xf numFmtId="164" fontId="17"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true" applyBorder="false" applyAlignment="true" applyProtection="false">
      <alignment horizontal="left" vertical="top" textRotation="0" wrapText="false" indent="0" shrinkToFit="false"/>
      <protection locked="true" hidden="false"/>
    </xf>
    <xf numFmtId="165" fontId="17" fillId="0" borderId="0" xfId="0" applyFont="true" applyBorder="false" applyAlignment="true" applyProtection="false">
      <alignment horizontal="right" vertical="top" textRotation="0" wrapText="false" indent="0" shrinkToFit="false"/>
      <protection locked="true" hidden="false"/>
    </xf>
    <xf numFmtId="164" fontId="18" fillId="0" borderId="0" xfId="0" applyFont="true" applyBorder="false" applyAlignment="true" applyProtection="false">
      <alignment horizontal="left" vertical="top" textRotation="0" wrapText="false" indent="0" shrinkToFit="false"/>
      <protection locked="true" hidden="false"/>
    </xf>
    <xf numFmtId="171" fontId="12" fillId="0" borderId="0" xfId="0" applyFont="true" applyBorder="true" applyAlignment="true" applyProtection="false">
      <alignment horizontal="left" vertical="top" textRotation="0" wrapText="fals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5" fontId="12" fillId="0" borderId="0" xfId="0" applyFont="true" applyBorder="false" applyAlignment="true" applyProtection="false">
      <alignment horizontal="right" vertical="bottom" textRotation="0" wrapText="false" indent="0" shrinkToFit="false"/>
      <protection locked="true" hidden="false"/>
    </xf>
    <xf numFmtId="165" fontId="19" fillId="0" borderId="0" xfId="0" applyFont="true" applyBorder="false" applyAlignment="true" applyProtection="false">
      <alignment horizontal="right" vertical="bottom" textRotation="0" wrapText="false" indent="0" shrinkToFit="false"/>
      <protection locked="true" hidden="false"/>
    </xf>
    <xf numFmtId="165" fontId="19" fillId="0" borderId="0" xfId="0" applyFont="true" applyBorder="false" applyAlignment="true" applyProtection="false">
      <alignment horizontal="general" vertical="top" textRotation="0" wrapText="false" indent="0" shrinkToFit="false"/>
      <protection locked="true" hidden="false"/>
    </xf>
    <xf numFmtId="164" fontId="9" fillId="0" borderId="0" xfId="0" applyFont="true" applyBorder="false" applyAlignment="true" applyProtection="false">
      <alignment horizontal="left" vertical="top" textRotation="0" wrapText="false" indent="0" shrinkToFit="false"/>
      <protection locked="true" hidden="false"/>
    </xf>
    <xf numFmtId="164" fontId="12" fillId="0" borderId="0" xfId="0" applyFont="true" applyBorder="true" applyAlignment="true" applyProtection="false">
      <alignment horizontal="left" vertical="bottom" textRotation="0" wrapText="true" indent="0" shrinkToFit="false"/>
      <protection locked="true" hidden="false"/>
    </xf>
    <xf numFmtId="165" fontId="12" fillId="0" borderId="0" xfId="0" applyFont="true" applyBorder="false" applyAlignment="false" applyProtection="false">
      <alignment horizontal="general" vertical="bottom" textRotation="0" wrapText="false" indent="0" shrinkToFit="false"/>
      <protection locked="true" hidden="false"/>
    </xf>
    <xf numFmtId="165" fontId="12" fillId="0" borderId="0" xfId="0" applyFont="true" applyBorder="false" applyAlignment="true" applyProtection="false">
      <alignment horizontal="left" vertical="bottom" textRotation="0" wrapText="false" indent="0" shrinkToFit="false"/>
      <protection locked="true" hidden="false"/>
    </xf>
    <xf numFmtId="172" fontId="12" fillId="0" borderId="0" xfId="0" applyFont="true" applyBorder="false" applyAlignment="true" applyProtection="false">
      <alignment horizontal="right" vertical="bottom" textRotation="0" wrapText="false" indent="0" shrinkToFit="false"/>
      <protection locked="true" hidden="false"/>
    </xf>
    <xf numFmtId="165" fontId="12" fillId="0" borderId="1" xfId="0" applyFont="true" applyBorder="true" applyAlignment="true" applyProtection="false">
      <alignment horizontal="right" vertical="bottom" textRotation="0" wrapText="false" indent="0" shrinkToFit="false"/>
      <protection locked="true" hidden="false"/>
    </xf>
    <xf numFmtId="165" fontId="9" fillId="0" borderId="0" xfId="0" applyFont="true" applyBorder="false" applyAlignment="true" applyProtection="false">
      <alignment horizontal="left" vertical="top" textRotation="0" wrapText="false" indent="0" shrinkToFit="false"/>
      <protection locked="true" hidden="false"/>
    </xf>
    <xf numFmtId="173" fontId="12" fillId="0" borderId="0" xfId="0" applyFont="true" applyBorder="false" applyAlignment="true" applyProtection="false">
      <alignment horizontal="left" vertical="top" textRotation="0" wrapText="false" indent="0" shrinkToFit="false"/>
      <protection locked="true" hidden="false"/>
    </xf>
    <xf numFmtId="173" fontId="12" fillId="0" borderId="0" xfId="0" applyFont="true" applyBorder="false" applyAlignment="true" applyProtection="false">
      <alignment horizontal="general" vertical="top" textRotation="0" wrapText="false" indent="0" shrinkToFit="false"/>
      <protection locked="true" hidden="false"/>
    </xf>
    <xf numFmtId="173" fontId="8" fillId="0" borderId="0" xfId="0" applyFont="true" applyBorder="false" applyAlignment="true" applyProtection="false">
      <alignment horizontal="general" vertical="top" textRotation="0" wrapText="false" indent="0" shrinkToFit="false"/>
      <protection locked="true" hidden="false"/>
    </xf>
    <xf numFmtId="165" fontId="16" fillId="0" borderId="0" xfId="0" applyFont="true" applyBorder="false" applyAlignment="true" applyProtection="false">
      <alignment horizontal="general" vertical="top" textRotation="0" wrapText="false" indent="0" shrinkToFit="false"/>
      <protection locked="true" hidden="false"/>
    </xf>
    <xf numFmtId="173" fontId="13" fillId="0" borderId="0" xfId="0" applyFont="true" applyBorder="false" applyAlignment="true" applyProtection="false">
      <alignment horizontal="general" vertical="top" textRotation="0" wrapText="false" indent="0" shrinkToFit="false"/>
      <protection locked="true" hidden="false"/>
    </xf>
    <xf numFmtId="173" fontId="12" fillId="0" borderId="0" xfId="0" applyFont="true" applyBorder="true" applyAlignment="true" applyProtection="false">
      <alignment horizontal="left" vertical="top" textRotation="0" wrapText="false" indent="0" shrinkToFit="false"/>
      <protection locked="true" hidden="false"/>
    </xf>
    <xf numFmtId="173" fontId="12" fillId="0" borderId="0" xfId="0" applyFont="true" applyBorder="false" applyAlignment="true" applyProtection="false">
      <alignment horizontal="left" vertical="bottom" textRotation="0" wrapText="false" indent="0" shrinkToFit="false"/>
      <protection locked="true" hidden="false"/>
    </xf>
    <xf numFmtId="173" fontId="12" fillId="0" borderId="0" xfId="0" applyFont="true" applyBorder="false" applyAlignment="false" applyProtection="false">
      <alignment horizontal="general" vertical="bottom" textRotation="0" wrapText="false" indent="0" shrinkToFit="false"/>
      <protection locked="true" hidden="false"/>
    </xf>
    <xf numFmtId="173" fontId="19" fillId="0" borderId="0" xfId="0" applyFont="true" applyBorder="false" applyAlignment="true" applyProtection="false">
      <alignment horizontal="right" vertical="bottom" textRotation="0" wrapText="false" indent="0" shrinkToFit="false"/>
      <protection locked="true" hidden="false"/>
    </xf>
    <xf numFmtId="173" fontId="19" fillId="0"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true" applyAlignment="true" applyProtection="false">
      <alignment horizontal="right" vertical="top" textRotation="0" wrapText="false" indent="0" shrinkToFit="false"/>
      <protection locked="true" hidden="false"/>
    </xf>
    <xf numFmtId="173" fontId="12" fillId="0" borderId="0" xfId="0" applyFont="true" applyBorder="true" applyAlignment="true" applyProtection="false">
      <alignment horizontal="right" vertical="top" textRotation="0" wrapText="false" indent="0" shrinkToFit="false"/>
      <protection locked="true" hidden="false"/>
    </xf>
    <xf numFmtId="165" fontId="12" fillId="0" borderId="0" xfId="0" applyFont="true" applyBorder="true" applyAlignment="true" applyProtection="false">
      <alignment horizontal="left" vertical="bottom" textRotation="0" wrapText="false" indent="0" shrinkToFit="false"/>
      <protection locked="true" hidden="false"/>
    </xf>
    <xf numFmtId="165" fontId="12" fillId="0" borderId="0" xfId="0" applyFont="true" applyBorder="true" applyAlignment="true" applyProtection="false">
      <alignment horizontal="general" vertical="top" textRotation="0" wrapText="false" indent="0" shrinkToFit="false"/>
      <protection locked="true" hidden="false"/>
    </xf>
    <xf numFmtId="165" fontId="19" fillId="0" borderId="0" xfId="0" applyFont="true" applyBorder="true" applyAlignment="true" applyProtection="false">
      <alignment horizontal="left" vertical="bottom" textRotation="0" wrapText="false" indent="0" shrinkToFit="false"/>
      <protection locked="true" hidden="false"/>
    </xf>
    <xf numFmtId="165" fontId="19" fillId="0" borderId="0" xfId="0" applyFont="true" applyBorder="true" applyAlignment="true" applyProtection="false">
      <alignment horizontal="general" vertical="top" textRotation="0" wrapText="false" indent="0" shrinkToFit="false"/>
      <protection locked="true" hidden="false"/>
    </xf>
    <xf numFmtId="164" fontId="12" fillId="0" borderId="3" xfId="0" applyFont="true" applyBorder="true" applyAlignment="true" applyProtection="false">
      <alignment horizontal="left" vertical="top" textRotation="0" wrapText="false" indent="0" shrinkToFit="false"/>
      <protection locked="true" hidden="false"/>
    </xf>
    <xf numFmtId="164" fontId="12" fillId="0" borderId="4" xfId="0" applyFont="true" applyBorder="true" applyAlignment="false" applyProtection="false">
      <alignment horizontal="general" vertical="bottom" textRotation="0" wrapText="false" indent="0" shrinkToFit="false"/>
      <protection locked="true" hidden="false"/>
    </xf>
    <xf numFmtId="164" fontId="12" fillId="0" borderId="4" xfId="0" applyFont="true" applyBorder="true" applyAlignment="true" applyProtection="false">
      <alignment horizontal="left" vertical="top" textRotation="0" wrapText="false" indent="0" shrinkToFit="false"/>
      <protection locked="true" hidden="false"/>
    </xf>
    <xf numFmtId="173" fontId="12" fillId="0" borderId="4" xfId="0" applyFont="true" applyBorder="true" applyAlignment="true" applyProtection="false">
      <alignment horizontal="left" vertical="top" textRotation="0" wrapText="false" indent="0" shrinkToFit="false"/>
      <protection locked="true" hidden="false"/>
    </xf>
    <xf numFmtId="173" fontId="12" fillId="0" borderId="4" xfId="0" applyFont="true" applyBorder="true" applyAlignment="true" applyProtection="false">
      <alignment horizontal="general" vertical="top" textRotation="0" wrapText="false" indent="0" shrinkToFit="false"/>
      <protection locked="true" hidden="false"/>
    </xf>
    <xf numFmtId="173" fontId="12" fillId="0" borderId="4" xfId="0" applyFont="true" applyBorder="true" applyAlignment="false" applyProtection="false">
      <alignment horizontal="general" vertical="bottom" textRotation="0" wrapText="false" indent="0" shrinkToFit="false"/>
      <protection locked="true" hidden="false"/>
    </xf>
    <xf numFmtId="165" fontId="12" fillId="0" borderId="4" xfId="0" applyFont="true" applyBorder="true" applyAlignment="true" applyProtection="false">
      <alignment horizontal="general" vertical="top" textRotation="0" wrapText="false" indent="0" shrinkToFit="false"/>
      <protection locked="true" hidden="false"/>
    </xf>
    <xf numFmtId="164" fontId="12" fillId="0" borderId="4" xfId="0" applyFont="true" applyBorder="true" applyAlignment="true" applyProtection="false">
      <alignment horizontal="general" vertical="top" textRotation="0" wrapText="false" indent="0" shrinkToFit="false"/>
      <protection locked="true" hidden="false"/>
    </xf>
    <xf numFmtId="164" fontId="12" fillId="0" borderId="5" xfId="0" applyFont="true" applyBorder="true" applyAlignment="true" applyProtection="false">
      <alignment horizontal="general" vertical="top" textRotation="0" wrapText="false" indent="0" shrinkToFit="false"/>
      <protection locked="true" hidden="false"/>
    </xf>
    <xf numFmtId="164" fontId="12" fillId="0" borderId="6" xfId="0" applyFont="true" applyBorder="true" applyAlignment="true" applyProtection="false">
      <alignment horizontal="left" vertical="top"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false" indent="0" shrinkToFit="false"/>
      <protection locked="true" hidden="false"/>
    </xf>
    <xf numFmtId="173" fontId="12" fillId="0" borderId="0" xfId="0" applyFont="true" applyBorder="true" applyAlignment="true" applyProtection="false">
      <alignment horizontal="general" vertical="top" textRotation="0" wrapText="false" indent="0" shrinkToFit="false"/>
      <protection locked="true" hidden="false"/>
    </xf>
    <xf numFmtId="173" fontId="12" fillId="0" borderId="0"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general" vertical="top" textRotation="0" wrapText="false" indent="0" shrinkToFit="false"/>
      <protection locked="true" hidden="false"/>
    </xf>
    <xf numFmtId="164" fontId="12" fillId="0" borderId="7" xfId="0" applyFont="true" applyBorder="true" applyAlignment="true" applyProtection="false">
      <alignment horizontal="general" vertical="top"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73" fontId="12" fillId="0" borderId="0" xfId="0" applyFont="true" applyBorder="true" applyAlignment="true" applyProtection="false">
      <alignment horizontal="left" vertical="bottom" textRotation="0" wrapText="false" indent="0" shrinkToFit="false"/>
      <protection locked="true" hidden="false"/>
    </xf>
    <xf numFmtId="173" fontId="19" fillId="0" borderId="0" xfId="0" applyFont="true" applyBorder="true" applyAlignment="true" applyProtection="false">
      <alignment horizontal="right" vertical="bottom" textRotation="0" wrapText="false" indent="0" shrinkToFit="false"/>
      <protection locked="true" hidden="false"/>
    </xf>
    <xf numFmtId="165" fontId="19" fillId="0" borderId="0" xfId="0" applyFont="true" applyBorder="true" applyAlignment="true" applyProtection="false">
      <alignment horizontal="right" vertical="bottom" textRotation="0" wrapText="false" indent="0" shrinkToFit="false"/>
      <protection locked="true" hidden="false"/>
    </xf>
    <xf numFmtId="173" fontId="12" fillId="0" borderId="0" xfId="0" applyFont="true" applyBorder="true" applyAlignment="true" applyProtection="false">
      <alignment horizontal="right" vertical="bottom" textRotation="0" wrapText="false" indent="0" shrinkToFit="false"/>
      <protection locked="true" hidden="false"/>
    </xf>
    <xf numFmtId="174" fontId="12" fillId="0" borderId="0" xfId="0" applyFont="true" applyBorder="true" applyAlignment="true" applyProtection="false">
      <alignment horizontal="right" vertical="bottom" textRotation="0" wrapText="false" indent="0" shrinkToFit="false"/>
      <protection locked="true" hidden="false"/>
    </xf>
    <xf numFmtId="175" fontId="12" fillId="0" borderId="0" xfId="0" applyFont="true" applyBorder="true" applyAlignment="true" applyProtection="false">
      <alignment horizontal="general" vertical="top" textRotation="0" wrapText="false" indent="0" shrinkToFit="false"/>
      <protection locked="true" hidden="false"/>
    </xf>
    <xf numFmtId="172" fontId="12" fillId="0" borderId="0" xfId="0" applyFont="true" applyBorder="true" applyAlignment="true" applyProtection="false">
      <alignment horizontal="right" vertical="bottom" textRotation="0" wrapText="false" indent="0" shrinkToFit="false"/>
      <protection locked="true" hidden="false"/>
    </xf>
    <xf numFmtId="173" fontId="19" fillId="0" borderId="0" xfId="0" applyFont="true" applyBorder="true" applyAlignment="true" applyProtection="false">
      <alignment horizontal="left" vertical="bottom" textRotation="0" wrapText="false" indent="0" shrinkToFit="false"/>
      <protection locked="true" hidden="false"/>
    </xf>
    <xf numFmtId="172" fontId="19" fillId="0" borderId="0" xfId="0" applyFont="true" applyBorder="true" applyAlignment="true" applyProtection="false">
      <alignment horizontal="right" vertical="bottom" textRotation="0" wrapText="false" indent="0" shrinkToFit="false"/>
      <protection locked="true" hidden="false"/>
    </xf>
    <xf numFmtId="165" fontId="12" fillId="0" borderId="0" xfId="0" applyFont="true" applyBorder="true" applyAlignment="true" applyProtection="false">
      <alignment horizontal="right" vertical="bottom" textRotation="0" wrapText="false" indent="0" shrinkToFit="false"/>
      <protection locked="true" hidden="false"/>
    </xf>
    <xf numFmtId="176" fontId="12" fillId="0" borderId="0" xfId="0" applyFont="true" applyBorder="true" applyAlignment="true" applyProtection="false">
      <alignment horizontal="general" vertical="top"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73" fontId="11" fillId="0" borderId="0" xfId="0" applyFont="true" applyBorder="true" applyAlignment="false" applyProtection="false">
      <alignment horizontal="general" vertical="bottom" textRotation="0" wrapText="false" indent="0" shrinkToFit="false"/>
      <protection locked="true" hidden="false"/>
    </xf>
    <xf numFmtId="173" fontId="11" fillId="0" borderId="0" xfId="0" applyFont="true" applyBorder="true" applyAlignment="true" applyProtection="false">
      <alignment horizontal="left" vertical="bottom" textRotation="0" wrapText="false" indent="0" shrinkToFit="false"/>
      <protection locked="true" hidden="false"/>
    </xf>
    <xf numFmtId="164" fontId="11" fillId="0" borderId="0" xfId="0" applyFont="true" applyBorder="true" applyAlignment="true" applyProtection="false">
      <alignment horizontal="left" vertical="bottom" textRotation="0" wrapText="false" indent="0" shrinkToFit="false"/>
      <protection locked="true" hidden="false"/>
    </xf>
    <xf numFmtId="164" fontId="11" fillId="0" borderId="0" xfId="0" applyFont="true" applyBorder="true" applyAlignment="true" applyProtection="false">
      <alignment horizontal="left" vertical="bottom" textRotation="0" wrapText="false" indent="0" shrinkToFit="false"/>
      <protection locked="true" hidden="false"/>
    </xf>
    <xf numFmtId="173" fontId="11" fillId="0" borderId="0" xfId="0" applyFont="true" applyBorder="true" applyAlignment="true" applyProtection="false">
      <alignment horizontal="general" vertical="top" textRotation="0" wrapText="false" indent="0" shrinkToFit="false"/>
      <protection locked="true" hidden="false"/>
    </xf>
    <xf numFmtId="164" fontId="11" fillId="0" borderId="0" xfId="0" applyFont="true" applyBorder="true" applyAlignment="true" applyProtection="false">
      <alignment horizontal="general" vertical="top" textRotation="0" wrapText="false" indent="0" shrinkToFit="false"/>
      <protection locked="true" hidden="false"/>
    </xf>
    <xf numFmtId="164" fontId="11" fillId="0" borderId="7" xfId="0" applyFont="true" applyBorder="true" applyAlignment="true" applyProtection="false">
      <alignment horizontal="general" vertical="top" textRotation="0" wrapText="false" indent="0" shrinkToFit="false"/>
      <protection locked="true" hidden="false"/>
    </xf>
    <xf numFmtId="164" fontId="11" fillId="0" borderId="0" xfId="0" applyFont="true" applyBorder="false" applyAlignment="true" applyProtection="false">
      <alignment horizontal="general" vertical="top" textRotation="0" wrapText="false" indent="0" shrinkToFit="false"/>
      <protection locked="true" hidden="false"/>
    </xf>
    <xf numFmtId="164" fontId="19" fillId="0" borderId="0" xfId="0" applyFont="true" applyBorder="true" applyAlignment="true" applyProtection="false">
      <alignment horizontal="left" vertical="bottom" textRotation="0" wrapText="false" indent="0" shrinkToFit="false"/>
      <protection locked="true" hidden="false"/>
    </xf>
    <xf numFmtId="164" fontId="16" fillId="0" borderId="0" xfId="0" applyFont="true" applyBorder="true" applyAlignment="true" applyProtection="false">
      <alignment horizontal="left" vertical="bottom" textRotation="0" wrapText="false" indent="0" shrinkToFit="false"/>
      <protection locked="true" hidden="false"/>
    </xf>
    <xf numFmtId="173" fontId="16" fillId="0" borderId="0" xfId="0" applyFont="true" applyBorder="false" applyAlignment="true" applyProtection="false">
      <alignment horizontal="general" vertical="top" textRotation="0" wrapText="false" indent="0" shrinkToFit="false"/>
      <protection locked="true" hidden="false"/>
    </xf>
    <xf numFmtId="173" fontId="16" fillId="0" borderId="0" xfId="0" applyFont="true" applyBorder="true" applyAlignment="true" applyProtection="false">
      <alignment horizontal="right" vertical="bottom" textRotation="0" wrapText="false" indent="0" shrinkToFit="false"/>
      <protection locked="true" hidden="false"/>
    </xf>
    <xf numFmtId="164" fontId="16" fillId="0" borderId="0" xfId="0" applyFont="true" applyBorder="true" applyAlignment="true" applyProtection="false">
      <alignment horizontal="general" vertical="top" textRotation="0" wrapText="false" indent="0" shrinkToFit="false"/>
      <protection locked="true" hidden="false"/>
    </xf>
    <xf numFmtId="173" fontId="16" fillId="0" borderId="0" xfId="0" applyFont="true" applyBorder="true" applyAlignment="true" applyProtection="false">
      <alignment horizontal="left" vertical="bottom" textRotation="0" wrapText="false" indent="0" shrinkToFit="false"/>
      <protection locked="true" hidden="false"/>
    </xf>
    <xf numFmtId="174" fontId="16" fillId="0" borderId="0" xfId="0" applyFont="true" applyBorder="true" applyAlignment="true" applyProtection="false">
      <alignment horizontal="right" vertical="bottom" textRotation="0" wrapText="false" indent="0" shrinkToFit="false"/>
      <protection locked="true" hidden="false"/>
    </xf>
    <xf numFmtId="164" fontId="12" fillId="0" borderId="0" xfId="0" applyFont="true" applyBorder="true" applyAlignment="true" applyProtection="false">
      <alignment horizontal="right" vertical="bottom" textRotation="0" wrapText="false" indent="0" shrinkToFit="false"/>
      <protection locked="true" hidden="false"/>
    </xf>
    <xf numFmtId="165" fontId="12" fillId="0" borderId="0" xfId="0" applyFont="true" applyBorder="true" applyAlignment="true" applyProtection="false">
      <alignment horizontal="left" vertical="top" textRotation="0" wrapText="false" indent="0" shrinkToFit="false"/>
      <protection locked="true" hidden="false"/>
    </xf>
    <xf numFmtId="164" fontId="20" fillId="0" borderId="0" xfId="0" applyFont="true" applyBorder="true" applyAlignment="true" applyProtection="false">
      <alignment horizontal="left" vertical="bottom" textRotation="0" wrapText="false" indent="0" shrinkToFit="false"/>
      <protection locked="true" hidden="false"/>
    </xf>
    <xf numFmtId="164" fontId="16" fillId="0" borderId="0" xfId="0" applyFont="true" applyBorder="false" applyAlignment="true" applyProtection="false">
      <alignment horizontal="general" vertical="top" textRotation="0" wrapText="false" indent="0" shrinkToFit="false"/>
      <protection locked="true" hidden="false"/>
    </xf>
    <xf numFmtId="164" fontId="16" fillId="0" borderId="7" xfId="0" applyFont="true" applyBorder="true" applyAlignment="true" applyProtection="false">
      <alignment horizontal="general" vertical="top" textRotation="0" wrapText="false" indent="0" shrinkToFit="false"/>
      <protection locked="true" hidden="false"/>
    </xf>
    <xf numFmtId="164" fontId="9" fillId="0" borderId="6" xfId="0" applyFont="true" applyBorder="true" applyAlignment="true" applyProtection="false">
      <alignment horizontal="left" vertical="top" textRotation="0" wrapText="false" indent="0" shrinkToFit="false"/>
      <protection locked="true" hidden="false"/>
    </xf>
    <xf numFmtId="173" fontId="10" fillId="0" borderId="0" xfId="0" applyFont="true" applyBorder="true" applyAlignment="true" applyProtection="false">
      <alignment horizontal="left" vertical="top" textRotation="0" wrapText="false" indent="0" shrinkToFit="false"/>
      <protection locked="true" hidden="false"/>
    </xf>
    <xf numFmtId="165" fontId="21" fillId="0" borderId="0" xfId="0" applyFont="true" applyBorder="true" applyAlignment="true" applyProtection="false">
      <alignment horizontal="left" vertical="bottom" textRotation="0" wrapText="false" indent="0" shrinkToFit="false"/>
      <protection locked="true" hidden="false"/>
    </xf>
    <xf numFmtId="165" fontId="10" fillId="0" borderId="0" xfId="0" applyFont="true" applyBorder="true" applyAlignment="true" applyProtection="false">
      <alignment horizontal="left" vertical="bottom" textRotation="0" wrapText="false" indent="0" shrinkToFit="false"/>
      <protection locked="true" hidden="false"/>
    </xf>
    <xf numFmtId="164" fontId="22" fillId="0" borderId="0" xfId="0" applyFont="true" applyBorder="true" applyAlignment="true" applyProtection="false">
      <alignment horizontal="right" vertical="bottom" textRotation="0" wrapText="false" indent="0" shrinkToFit="false"/>
      <protection locked="true" hidden="false"/>
    </xf>
    <xf numFmtId="165" fontId="22" fillId="0" borderId="0" xfId="0" applyFont="true" applyBorder="true" applyAlignment="true" applyProtection="false">
      <alignment horizontal="left" vertical="bottom" textRotation="0" wrapText="false" indent="0" shrinkToFit="false"/>
      <protection locked="true" hidden="false"/>
    </xf>
    <xf numFmtId="175" fontId="22" fillId="0" borderId="0" xfId="0" applyFont="true" applyBorder="false" applyAlignment="true" applyProtection="false">
      <alignment horizontal="general" vertical="top" textRotation="0" wrapText="false" indent="0" shrinkToFit="false"/>
      <protection locked="true" hidden="false"/>
    </xf>
    <xf numFmtId="164" fontId="22" fillId="0" borderId="7" xfId="0" applyFont="true" applyBorder="true" applyAlignment="true" applyProtection="false">
      <alignment horizontal="general" vertical="top" textRotation="0" wrapText="false" indent="0" shrinkToFit="false"/>
      <protection locked="true" hidden="false"/>
    </xf>
    <xf numFmtId="164" fontId="10" fillId="0" borderId="0" xfId="0" applyFont="true" applyBorder="false" applyAlignment="true" applyProtection="false">
      <alignment horizontal="general" vertical="top" textRotation="0" wrapText="false" indent="0" shrinkToFit="false"/>
      <protection locked="true" hidden="false"/>
    </xf>
    <xf numFmtId="165" fontId="23" fillId="0" borderId="0" xfId="0" applyFont="true" applyBorder="true" applyAlignment="true" applyProtection="false">
      <alignment horizontal="left" vertical="bottom" textRotation="0" wrapText="false" indent="0" shrinkToFit="false"/>
      <protection locked="true" hidden="false"/>
    </xf>
    <xf numFmtId="175" fontId="23" fillId="0" borderId="0" xfId="0" applyFont="true" applyBorder="false" applyAlignment="true" applyProtection="false">
      <alignment horizontal="general" vertical="top" textRotation="0" wrapText="false" indent="0" shrinkToFit="false"/>
      <protection locked="true" hidden="false"/>
    </xf>
    <xf numFmtId="164" fontId="24" fillId="0" borderId="6" xfId="0" applyFont="true" applyBorder="true" applyAlignment="true" applyProtection="false">
      <alignment horizontal="left" vertical="top" textRotation="0" wrapText="false" indent="0" shrinkToFit="false"/>
      <protection locked="true" hidden="false"/>
    </xf>
    <xf numFmtId="173" fontId="10" fillId="0" borderId="0" xfId="0" applyFont="true" applyBorder="false" applyAlignment="true" applyProtection="false">
      <alignment horizontal="left" vertical="top" textRotation="0" wrapText="false" indent="0" shrinkToFit="false"/>
      <protection locked="true" hidden="false"/>
    </xf>
    <xf numFmtId="173" fontId="10" fillId="0" borderId="0" xfId="0" applyFont="true" applyBorder="false" applyAlignment="true" applyProtection="false">
      <alignment horizontal="general" vertical="top"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64" fontId="22" fillId="0" borderId="0" xfId="0" applyFont="true" applyBorder="false" applyAlignment="true" applyProtection="false">
      <alignment horizontal="general" vertical="top" textRotation="0" wrapText="false" indent="0" shrinkToFit="false"/>
      <protection locked="true" hidden="false"/>
    </xf>
    <xf numFmtId="175" fontId="19" fillId="0" borderId="0" xfId="0" applyFont="true" applyBorder="true" applyAlignment="true" applyProtection="false">
      <alignment horizontal="general" vertical="top" textRotation="0" wrapText="false" indent="0" shrinkToFit="false"/>
      <protection locked="true" hidden="false"/>
    </xf>
    <xf numFmtId="165" fontId="10" fillId="0" borderId="0" xfId="0" applyFont="true" applyBorder="true" applyAlignment="true" applyProtection="false">
      <alignment horizontal="left" vertical="top" textRotation="0" wrapText="false" indent="0" shrinkToFit="false"/>
      <protection locked="true" hidden="false"/>
    </xf>
    <xf numFmtId="173" fontId="10" fillId="0" borderId="0" xfId="0" applyFont="true" applyBorder="true" applyAlignment="false" applyProtection="false">
      <alignment horizontal="general" vertical="bottom" textRotation="0" wrapText="false" indent="0" shrinkToFit="false"/>
      <protection locked="true" hidden="false"/>
    </xf>
    <xf numFmtId="165" fontId="10" fillId="0" borderId="0" xfId="0" applyFont="true" applyBorder="true" applyAlignment="true" applyProtection="false">
      <alignment horizontal="general" vertical="top" textRotation="0" wrapText="false" indent="0" shrinkToFit="false"/>
      <protection locked="true" hidden="false"/>
    </xf>
    <xf numFmtId="165" fontId="22" fillId="0" borderId="0" xfId="0" applyFont="true" applyBorder="true" applyAlignment="true" applyProtection="false">
      <alignment horizontal="general" vertical="top" textRotation="0" wrapText="false" indent="0" shrinkToFit="false"/>
      <protection locked="true" hidden="false"/>
    </xf>
    <xf numFmtId="173" fontId="22" fillId="0" borderId="0" xfId="0" applyFont="true" applyBorder="false" applyAlignment="true" applyProtection="false">
      <alignment horizontal="general" vertical="top" textRotation="0" wrapText="false" indent="0" shrinkToFit="false"/>
      <protection locked="true" hidden="false"/>
    </xf>
    <xf numFmtId="165" fontId="22" fillId="0" borderId="0" xfId="0" applyFont="true" applyBorder="false" applyAlignment="true" applyProtection="false">
      <alignment horizontal="general" vertical="top" textRotation="0" wrapText="false" indent="0" shrinkToFit="false"/>
      <protection locked="true" hidden="false"/>
    </xf>
    <xf numFmtId="173" fontId="22" fillId="0" borderId="0" xfId="0" applyFont="true" applyBorder="true" applyAlignment="true" applyProtection="false">
      <alignment horizontal="general" vertical="top" textRotation="0" wrapText="false" indent="0" shrinkToFit="false"/>
      <protection locked="true" hidden="false"/>
    </xf>
    <xf numFmtId="165" fontId="22" fillId="0" borderId="7" xfId="0" applyFont="true" applyBorder="true" applyAlignment="true" applyProtection="false">
      <alignment horizontal="left"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73" fontId="22" fillId="0" borderId="0" xfId="0" applyFont="true" applyBorder="true" applyAlignment="true" applyProtection="false">
      <alignment horizontal="right" vertical="bottom" textRotation="0" wrapText="false" indent="0" shrinkToFit="false"/>
      <protection locked="true" hidden="false"/>
    </xf>
    <xf numFmtId="165" fontId="22" fillId="0" borderId="7" xfId="0" applyFont="true" applyBorder="true" applyAlignment="true" applyProtection="false">
      <alignment horizontal="left" vertical="top" textRotation="0" wrapText="false" indent="0" shrinkToFit="false"/>
      <protection locked="true" hidden="false"/>
    </xf>
    <xf numFmtId="173" fontId="10" fillId="0" borderId="0" xfId="0" applyFont="true" applyBorder="true" applyAlignment="true" applyProtection="false">
      <alignment horizontal="general" vertical="top" textRotation="0" wrapText="false" indent="0" shrinkToFit="false"/>
      <protection locked="true" hidden="false"/>
    </xf>
    <xf numFmtId="174" fontId="22" fillId="0" borderId="0" xfId="0" applyFont="true" applyBorder="true" applyAlignment="true" applyProtection="false">
      <alignment horizontal="right" vertical="bottom" textRotation="0" wrapText="false" indent="0" shrinkToFit="false"/>
      <protection locked="true" hidden="false"/>
    </xf>
    <xf numFmtId="164" fontId="12" fillId="0" borderId="0" xfId="0" applyFont="true" applyBorder="true" applyAlignment="true" applyProtection="false">
      <alignment horizontal="right" vertical="top" textRotation="0" wrapText="false" indent="0" shrinkToFit="false"/>
      <protection locked="true" hidden="false"/>
    </xf>
    <xf numFmtId="165" fontId="23" fillId="0" borderId="7" xfId="0" applyFont="true" applyBorder="true" applyAlignment="true" applyProtection="false">
      <alignment horizontal="left" vertical="top" textRotation="0" wrapText="false" indent="0" shrinkToFit="false"/>
      <protection locked="true" hidden="false"/>
    </xf>
    <xf numFmtId="164" fontId="12" fillId="0" borderId="8" xfId="0" applyFont="true" applyBorder="true" applyAlignment="true" applyProtection="false">
      <alignment horizontal="left" vertical="top" textRotation="0" wrapText="false" indent="0" shrinkToFit="false"/>
      <protection locked="true" hidden="false"/>
    </xf>
    <xf numFmtId="164" fontId="12" fillId="0" borderId="1" xfId="0" applyFont="true" applyBorder="true" applyAlignment="true" applyProtection="false">
      <alignment horizontal="left" vertical="bottom" textRotation="0" wrapText="false" indent="0" shrinkToFit="false"/>
      <protection locked="true" hidden="false"/>
    </xf>
    <xf numFmtId="164" fontId="12" fillId="0" borderId="1" xfId="0" applyFont="true" applyBorder="true" applyAlignment="true" applyProtection="false">
      <alignment horizontal="right" vertical="top" textRotation="0" wrapText="false" indent="0" shrinkToFit="false"/>
      <protection locked="true" hidden="false"/>
    </xf>
    <xf numFmtId="165" fontId="12" fillId="0" borderId="1" xfId="0" applyFont="true" applyBorder="true" applyAlignment="true" applyProtection="false">
      <alignment horizontal="left" vertical="top" textRotation="0" wrapText="false" indent="0" shrinkToFit="false"/>
      <protection locked="true" hidden="false"/>
    </xf>
    <xf numFmtId="173" fontId="10" fillId="0" borderId="1" xfId="0" applyFont="true" applyBorder="true" applyAlignment="true" applyProtection="false">
      <alignment horizontal="left" vertical="top" textRotation="0" wrapText="false" indent="0" shrinkToFit="false"/>
      <protection locked="true" hidden="false"/>
    </xf>
    <xf numFmtId="173" fontId="10" fillId="0" borderId="1" xfId="0" applyFont="true" applyBorder="true" applyAlignment="true" applyProtection="false">
      <alignment horizontal="general" vertical="top" textRotation="0" wrapText="false" indent="0" shrinkToFit="false"/>
      <protection locked="true" hidden="false"/>
    </xf>
    <xf numFmtId="173" fontId="10" fillId="0" borderId="1" xfId="0" applyFont="true" applyBorder="true" applyAlignment="false" applyProtection="false">
      <alignment horizontal="general" vertical="bottom" textRotation="0" wrapText="false" indent="0" shrinkToFit="false"/>
      <protection locked="true" hidden="false"/>
    </xf>
    <xf numFmtId="173" fontId="22" fillId="0" borderId="1" xfId="0" applyFont="true" applyBorder="true" applyAlignment="true" applyProtection="false">
      <alignment horizontal="left" vertical="top" textRotation="0" wrapText="false" indent="0" shrinkToFit="false"/>
      <protection locked="true" hidden="false"/>
    </xf>
    <xf numFmtId="164" fontId="22" fillId="0" borderId="1" xfId="0" applyFont="true" applyBorder="true" applyAlignment="true" applyProtection="false">
      <alignment horizontal="left" vertical="bottom" textRotation="0" wrapText="false" indent="0" shrinkToFit="false"/>
      <protection locked="true" hidden="false"/>
    </xf>
    <xf numFmtId="173" fontId="22" fillId="0" borderId="1" xfId="0" applyFont="true" applyBorder="true" applyAlignment="true" applyProtection="false">
      <alignment horizontal="general" vertical="top" textRotation="0" wrapText="false" indent="0" shrinkToFit="false"/>
      <protection locked="true" hidden="false"/>
    </xf>
    <xf numFmtId="164" fontId="22" fillId="0" borderId="1" xfId="0" applyFont="true" applyBorder="true" applyAlignment="true" applyProtection="false">
      <alignment horizontal="left" vertical="bottom" textRotation="0" wrapText="false" indent="0" shrinkToFit="false"/>
      <protection locked="true" hidden="false"/>
    </xf>
    <xf numFmtId="173" fontId="22" fillId="0" borderId="1" xfId="0" applyFont="true" applyBorder="true" applyAlignment="true" applyProtection="false">
      <alignment horizontal="right" vertical="bottom" textRotation="0" wrapText="false" indent="0" shrinkToFit="false"/>
      <protection locked="true" hidden="false"/>
    </xf>
    <xf numFmtId="174" fontId="22" fillId="0" borderId="1" xfId="0" applyFont="true" applyBorder="true" applyAlignment="true" applyProtection="false">
      <alignment horizontal="right" vertical="bottom" textRotation="0" wrapText="false" indent="0" shrinkToFit="false"/>
      <protection locked="true" hidden="false"/>
    </xf>
    <xf numFmtId="165" fontId="22" fillId="0" borderId="9" xfId="0" applyFont="true" applyBorder="true" applyAlignment="true" applyProtection="false">
      <alignment horizontal="left" vertical="top" textRotation="0" wrapText="false" indent="0" shrinkToFit="false"/>
      <protection locked="true" hidden="false"/>
    </xf>
    <xf numFmtId="164" fontId="12" fillId="2" borderId="0" xfId="0" applyFont="true" applyBorder="false" applyAlignment="true" applyProtection="false">
      <alignment horizontal="left" vertical="top" textRotation="0" wrapText="false" indent="0" shrinkToFit="false"/>
      <protection locked="true" hidden="false"/>
    </xf>
    <xf numFmtId="173" fontId="12" fillId="2" borderId="0" xfId="0" applyFont="true" applyBorder="false" applyAlignment="true" applyProtection="false">
      <alignment horizontal="left" vertical="top" textRotation="0" wrapText="false" indent="0" shrinkToFit="false"/>
      <protection locked="true" hidden="false"/>
    </xf>
    <xf numFmtId="173" fontId="12" fillId="3" borderId="0" xfId="0" applyFont="true" applyBorder="false" applyAlignment="true" applyProtection="false">
      <alignment horizontal="general" vertical="top" textRotation="0" wrapText="false" indent="0" shrinkToFit="false"/>
      <protection locked="true" hidden="false"/>
    </xf>
    <xf numFmtId="173" fontId="16" fillId="3" borderId="0" xfId="0" applyFont="true" applyBorder="false" applyAlignment="true" applyProtection="false">
      <alignment horizontal="general" vertical="top" textRotation="0" wrapText="false" indent="0" shrinkToFit="false"/>
      <protection locked="true" hidden="false"/>
    </xf>
    <xf numFmtId="173" fontId="16" fillId="0" borderId="0" xfId="0" applyFont="true" applyBorder="false" applyAlignment="true" applyProtection="false">
      <alignment horizontal="general" vertical="top" textRotation="0" wrapText="fals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73" fontId="12" fillId="0" borderId="0" xfId="0" applyFont="true" applyBorder="false" applyAlignment="true" applyProtection="false">
      <alignment horizontal="center" vertical="bottom" textRotation="0" wrapText="false" indent="0" shrinkToFit="false"/>
      <protection locked="true" hidden="false"/>
    </xf>
    <xf numFmtId="173" fontId="12" fillId="0" borderId="0" xfId="0" applyFont="true" applyBorder="false" applyAlignment="true" applyProtection="false">
      <alignment horizontal="right" vertical="bottom" textRotation="0" wrapText="false" indent="0" shrinkToFit="false"/>
      <protection locked="true" hidden="false"/>
    </xf>
    <xf numFmtId="164" fontId="12" fillId="0" borderId="0" xfId="0" applyFont="true" applyBorder="false" applyAlignment="true" applyProtection="false">
      <alignment horizontal="right" vertical="bottom" textRotation="0" wrapText="false" indent="0" shrinkToFit="false"/>
      <protection locked="true" hidden="false"/>
    </xf>
    <xf numFmtId="171" fontId="12" fillId="0" borderId="0" xfId="0" applyFont="true" applyBorder="false" applyAlignment="true" applyProtection="false">
      <alignment horizontal="left" vertical="bottom" textRotation="0" wrapText="false" indent="0" shrinkToFit="false"/>
      <protection locked="true" hidden="false"/>
    </xf>
    <xf numFmtId="173" fontId="12" fillId="3" borderId="3" xfId="0" applyFont="true" applyBorder="true" applyAlignment="false" applyProtection="false">
      <alignment horizontal="general" vertical="bottom" textRotation="0" wrapText="false" indent="0" shrinkToFit="false"/>
      <protection locked="true" hidden="false"/>
    </xf>
    <xf numFmtId="173" fontId="12" fillId="3" borderId="4" xfId="0" applyFont="true" applyBorder="true" applyAlignment="false" applyProtection="false">
      <alignment horizontal="general" vertical="bottom" textRotation="0" wrapText="false" indent="0" shrinkToFit="false"/>
      <protection locked="true" hidden="false"/>
    </xf>
    <xf numFmtId="173" fontId="12" fillId="3" borderId="5" xfId="0" applyFont="true" applyBorder="true" applyAlignment="false" applyProtection="false">
      <alignment horizontal="general" vertical="bottom" textRotation="0" wrapText="false" indent="0" shrinkToFit="false"/>
      <protection locked="true" hidden="false"/>
    </xf>
    <xf numFmtId="173" fontId="12" fillId="3" borderId="3" xfId="0" applyFont="true" applyBorder="true" applyAlignment="true" applyProtection="false">
      <alignment horizontal="right" vertical="bottom" textRotation="0" wrapText="false" indent="0" shrinkToFit="false"/>
      <protection locked="true" hidden="false"/>
    </xf>
    <xf numFmtId="173" fontId="12" fillId="3" borderId="5" xfId="0" applyFont="true" applyBorder="true" applyAlignment="true" applyProtection="false">
      <alignment horizontal="right" vertical="bottom" textRotation="0" wrapText="false" indent="0" shrinkToFit="false"/>
      <protection locked="true" hidden="false"/>
    </xf>
    <xf numFmtId="173" fontId="12" fillId="3" borderId="4" xfId="0" applyFont="true" applyBorder="true" applyAlignment="true" applyProtection="false">
      <alignment horizontal="right" vertical="bottom" textRotation="0" wrapText="false" indent="0" shrinkToFit="false"/>
      <protection locked="true" hidden="false"/>
    </xf>
    <xf numFmtId="173" fontId="12" fillId="3" borderId="6" xfId="0" applyFont="true" applyBorder="true" applyAlignment="false" applyProtection="false">
      <alignment horizontal="general" vertical="bottom" textRotation="0" wrapText="false" indent="0" shrinkToFit="false"/>
      <protection locked="true" hidden="false"/>
    </xf>
    <xf numFmtId="173" fontId="12" fillId="3" borderId="0" xfId="0" applyFont="true" applyBorder="true" applyAlignment="false" applyProtection="false">
      <alignment horizontal="general" vertical="bottom" textRotation="0" wrapText="false" indent="0" shrinkToFit="false"/>
      <protection locked="true" hidden="false"/>
    </xf>
    <xf numFmtId="173" fontId="12" fillId="3" borderId="7" xfId="0" applyFont="true" applyBorder="true" applyAlignment="false" applyProtection="false">
      <alignment horizontal="general" vertical="bottom" textRotation="0" wrapText="false" indent="0" shrinkToFit="false"/>
      <protection locked="true" hidden="false"/>
    </xf>
    <xf numFmtId="173" fontId="12" fillId="3" borderId="6" xfId="0" applyFont="true" applyBorder="true" applyAlignment="true" applyProtection="false">
      <alignment horizontal="right" vertical="bottom" textRotation="0" wrapText="false" indent="0" shrinkToFit="false"/>
      <protection locked="true" hidden="false"/>
    </xf>
    <xf numFmtId="173" fontId="12" fillId="3" borderId="0" xfId="0" applyFont="true" applyBorder="true" applyAlignment="true" applyProtection="false">
      <alignment horizontal="right" vertical="bottom" textRotation="0" wrapText="false" indent="0" shrinkToFit="false"/>
      <protection locked="true" hidden="false"/>
    </xf>
    <xf numFmtId="173" fontId="12" fillId="3" borderId="7" xfId="0" applyFont="true" applyBorder="true" applyAlignment="true" applyProtection="false">
      <alignment horizontal="right" vertical="bottom" textRotation="0" wrapText="false" indent="0" shrinkToFit="false"/>
      <protection locked="true" hidden="false"/>
    </xf>
    <xf numFmtId="173" fontId="12" fillId="0" borderId="6" xfId="0" applyFont="true" applyBorder="true" applyAlignment="false" applyProtection="false">
      <alignment horizontal="general" vertical="bottom" textRotation="0" wrapText="false" indent="0" shrinkToFit="false"/>
      <protection locked="true" hidden="false"/>
    </xf>
    <xf numFmtId="173" fontId="12" fillId="0" borderId="0" xfId="0" applyFont="true" applyBorder="true" applyAlignment="false" applyProtection="false">
      <alignment horizontal="general" vertical="bottom" textRotation="0" wrapText="false" indent="0" shrinkToFit="false"/>
      <protection locked="true" hidden="false"/>
    </xf>
    <xf numFmtId="173" fontId="12" fillId="0" borderId="7" xfId="0" applyFont="true" applyBorder="true" applyAlignment="false" applyProtection="false">
      <alignment horizontal="general" vertical="bottom" textRotation="0" wrapText="false" indent="0" shrinkToFit="false"/>
      <protection locked="true" hidden="false"/>
    </xf>
    <xf numFmtId="173" fontId="12" fillId="0" borderId="6" xfId="0" applyFont="true" applyBorder="true" applyAlignment="true" applyProtection="false">
      <alignment horizontal="right" vertical="bottom" textRotation="0" wrapText="false" indent="0" shrinkToFit="false"/>
      <protection locked="true" hidden="false"/>
    </xf>
    <xf numFmtId="173" fontId="12" fillId="0" borderId="0" xfId="0" applyFont="true" applyBorder="true" applyAlignment="true" applyProtection="false">
      <alignment horizontal="right" vertical="bottom" textRotation="0" wrapText="false" indent="0" shrinkToFit="false"/>
      <protection locked="true" hidden="false"/>
    </xf>
    <xf numFmtId="173" fontId="12" fillId="0" borderId="7" xfId="0" applyFont="true" applyBorder="true" applyAlignment="true" applyProtection="false">
      <alignment horizontal="right" vertical="bottom" textRotation="0" wrapText="false" indent="0" shrinkToFit="false"/>
      <protection locked="true" hidden="false"/>
    </xf>
    <xf numFmtId="173" fontId="12" fillId="0" borderId="6" xfId="0" applyFont="true" applyBorder="true" applyAlignment="false" applyProtection="false">
      <alignment horizontal="general" vertical="bottom" textRotation="0" wrapText="false" indent="0" shrinkToFit="false"/>
      <protection locked="true" hidden="false"/>
    </xf>
    <xf numFmtId="173" fontId="12" fillId="0" borderId="7" xfId="0" applyFont="true" applyBorder="true" applyAlignment="false" applyProtection="false">
      <alignment horizontal="general" vertical="bottom" textRotation="0" wrapText="false" indent="0" shrinkToFit="false"/>
      <protection locked="true" hidden="false"/>
    </xf>
    <xf numFmtId="173" fontId="12" fillId="0" borderId="6" xfId="0" applyFont="true" applyBorder="true" applyAlignment="true" applyProtection="false">
      <alignment horizontal="right" vertical="bottom" textRotation="0" wrapText="false" indent="0" shrinkToFit="false"/>
      <protection locked="true" hidden="false"/>
    </xf>
    <xf numFmtId="173" fontId="12" fillId="2" borderId="6" xfId="0" applyFont="true" applyBorder="true" applyAlignment="true" applyProtection="false">
      <alignment horizontal="right" vertical="bottom" textRotation="0" wrapText="false" indent="0" shrinkToFit="false"/>
      <protection locked="true" hidden="false"/>
    </xf>
    <xf numFmtId="173" fontId="12" fillId="2" borderId="0" xfId="0" applyFont="true" applyBorder="true" applyAlignment="true" applyProtection="false">
      <alignment horizontal="right" vertical="bottom" textRotation="0" wrapText="false" indent="0" shrinkToFit="false"/>
      <protection locked="true" hidden="false"/>
    </xf>
    <xf numFmtId="173" fontId="12" fillId="2" borderId="7" xfId="0" applyFont="true" applyBorder="true" applyAlignment="true" applyProtection="false">
      <alignment horizontal="right" vertical="bottom" textRotation="0" wrapText="false" indent="0" shrinkToFit="false"/>
      <protection locked="true" hidden="false"/>
    </xf>
    <xf numFmtId="173" fontId="12" fillId="2" borderId="0" xfId="0" applyFont="true" applyBorder="true" applyAlignment="false" applyProtection="false">
      <alignment horizontal="general" vertical="bottom" textRotation="0" wrapText="false" indent="0" shrinkToFit="false"/>
      <protection locked="true" hidden="false"/>
    </xf>
    <xf numFmtId="173" fontId="12" fillId="2" borderId="7" xfId="0" applyFont="true" applyBorder="true" applyAlignment="false" applyProtection="false">
      <alignment horizontal="general" vertical="bottom" textRotation="0" wrapText="false" indent="0" shrinkToFit="false"/>
      <protection locked="true" hidden="false"/>
    </xf>
    <xf numFmtId="173" fontId="12" fillId="0" borderId="7" xfId="0" applyFont="true" applyBorder="true" applyAlignment="true" applyProtection="false">
      <alignment horizontal="right" vertical="bottom" textRotation="0" wrapText="false" indent="0" shrinkToFit="false"/>
      <protection locked="true" hidden="false"/>
    </xf>
    <xf numFmtId="173" fontId="12" fillId="4" borderId="6" xfId="0" applyFont="true" applyBorder="true" applyAlignment="true" applyProtection="false">
      <alignment horizontal="right" vertical="bottom" textRotation="0" wrapText="false" indent="0" shrinkToFit="false"/>
      <protection locked="true" hidden="false"/>
    </xf>
    <xf numFmtId="173" fontId="12" fillId="4" borderId="0" xfId="0" applyFont="true" applyBorder="true" applyAlignment="true" applyProtection="false">
      <alignment horizontal="right" vertical="bottom" textRotation="0" wrapText="false" indent="0" shrinkToFit="false"/>
      <protection locked="true" hidden="false"/>
    </xf>
    <xf numFmtId="173" fontId="12" fillId="4" borderId="7" xfId="0" applyFont="true" applyBorder="true" applyAlignment="false" applyProtection="false">
      <alignment horizontal="general" vertical="bottom" textRotation="0" wrapText="false" indent="0" shrinkToFit="false"/>
      <protection locked="true" hidden="false"/>
    </xf>
    <xf numFmtId="173" fontId="12" fillId="4" borderId="0" xfId="0" applyFont="true" applyBorder="true" applyAlignment="false" applyProtection="false">
      <alignment horizontal="general" vertical="bottom" textRotation="0" wrapText="false" indent="0" shrinkToFit="false"/>
      <protection locked="true" hidden="false"/>
    </xf>
    <xf numFmtId="173" fontId="12" fillId="4" borderId="6" xfId="0" applyFont="true" applyBorder="true" applyAlignment="false" applyProtection="false">
      <alignment horizontal="general" vertical="bottom" textRotation="0" wrapText="false" indent="0" shrinkToFit="false"/>
      <protection locked="true" hidden="false"/>
    </xf>
    <xf numFmtId="173" fontId="12" fillId="4" borderId="7" xfId="0" applyFont="true" applyBorder="true" applyAlignment="true" applyProtection="false">
      <alignment horizontal="right" vertical="bottom" textRotation="0" wrapText="false" indent="0" shrinkToFit="false"/>
      <protection locked="true" hidden="false"/>
    </xf>
    <xf numFmtId="173" fontId="12" fillId="2" borderId="6" xfId="0" applyFont="true" applyBorder="true" applyAlignment="false" applyProtection="false">
      <alignment horizontal="general" vertical="bottom" textRotation="0" wrapText="false" indent="0" shrinkToFit="false"/>
      <protection locked="true" hidden="false"/>
    </xf>
    <xf numFmtId="173" fontId="12" fillId="0" borderId="8" xfId="0" applyFont="true" applyBorder="true" applyAlignment="true" applyProtection="false">
      <alignment horizontal="left" vertical="top" textRotation="0" wrapText="false" indent="0" shrinkToFit="false"/>
      <protection locked="true" hidden="false"/>
    </xf>
    <xf numFmtId="173" fontId="12" fillId="0" borderId="1" xfId="0" applyFont="true" applyBorder="true" applyAlignment="true" applyProtection="false">
      <alignment horizontal="left" vertical="top" textRotation="0" wrapText="false" indent="0" shrinkToFit="false"/>
      <protection locked="true" hidden="false"/>
    </xf>
    <xf numFmtId="173" fontId="12" fillId="0" borderId="9" xfId="0" applyFont="true" applyBorder="true" applyAlignment="true" applyProtection="false">
      <alignment horizontal="left" vertical="top" textRotation="0" wrapText="false" indent="0" shrinkToFit="false"/>
      <protection locked="true" hidden="false"/>
    </xf>
    <xf numFmtId="173" fontId="12" fillId="0" borderId="8" xfId="0" applyFont="true" applyBorder="true" applyAlignment="false" applyProtection="false">
      <alignment horizontal="general" vertical="bottom" textRotation="0" wrapText="false" indent="0" shrinkToFit="false"/>
      <protection locked="true" hidden="false"/>
    </xf>
    <xf numFmtId="173" fontId="12" fillId="0" borderId="1" xfId="0" applyFont="true" applyBorder="true" applyAlignment="false" applyProtection="false">
      <alignment horizontal="general" vertical="bottom" textRotation="0" wrapText="false" indent="0" shrinkToFit="false"/>
      <protection locked="true" hidden="false"/>
    </xf>
    <xf numFmtId="173" fontId="12" fillId="0" borderId="9" xfId="0" applyFont="true" applyBorder="true" applyAlignment="false" applyProtection="false">
      <alignment horizontal="general" vertical="bottom" textRotation="0" wrapText="false" indent="0" shrinkToFit="false"/>
      <protection locked="true" hidden="false"/>
    </xf>
    <xf numFmtId="177" fontId="12" fillId="0" borderId="0" xfId="0" applyFont="true" applyBorder="false" applyAlignment="true" applyProtection="false">
      <alignment horizontal="right"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5" fontId="19" fillId="0" borderId="0" xfId="0" applyFont="true" applyBorder="false" applyAlignment="false" applyProtection="false">
      <alignment horizontal="general" vertical="bottom" textRotation="0" wrapText="false" indent="0" shrinkToFit="false"/>
      <protection locked="true" hidden="false"/>
    </xf>
    <xf numFmtId="173" fontId="12" fillId="0" borderId="3" xfId="0" applyFont="true" applyBorder="true" applyAlignment="false" applyProtection="false">
      <alignment horizontal="general" vertical="bottom" textRotation="0" wrapText="false" indent="0" shrinkToFit="false"/>
      <protection locked="true" hidden="false"/>
    </xf>
    <xf numFmtId="173" fontId="12" fillId="0" borderId="5" xfId="0" applyFont="true" applyBorder="true" applyAlignment="false" applyProtection="false">
      <alignment horizontal="general" vertical="bottom" textRotation="0" wrapText="false" indent="0" shrinkToFit="false"/>
      <protection locked="true" hidden="false"/>
    </xf>
    <xf numFmtId="173" fontId="12" fillId="0" borderId="3" xfId="0" applyFont="true" applyBorder="true" applyAlignment="true" applyProtection="false">
      <alignment horizontal="right" vertical="bottom" textRotation="0" wrapText="false" indent="0" shrinkToFit="false"/>
      <protection locked="true" hidden="false"/>
    </xf>
    <xf numFmtId="173" fontId="12" fillId="0" borderId="5" xfId="0" applyFont="true" applyBorder="true" applyAlignment="true" applyProtection="false">
      <alignment horizontal="right" vertical="bottom" textRotation="0" wrapText="false" indent="0" shrinkToFit="false"/>
      <protection locked="true" hidden="false"/>
    </xf>
    <xf numFmtId="173" fontId="12" fillId="2" borderId="3" xfId="0" applyFont="true" applyBorder="true" applyAlignment="false" applyProtection="false">
      <alignment horizontal="general" vertical="bottom" textRotation="0" wrapText="false" indent="0" shrinkToFit="false"/>
      <protection locked="true" hidden="false"/>
    </xf>
    <xf numFmtId="173" fontId="12" fillId="2" borderId="4" xfId="0" applyFont="true" applyBorder="true" applyAlignment="true" applyProtection="false">
      <alignment horizontal="right" vertical="bottom" textRotation="0" wrapText="false" indent="0" shrinkToFit="false"/>
      <protection locked="true" hidden="false"/>
    </xf>
    <xf numFmtId="173" fontId="12" fillId="2" borderId="5" xfId="0" applyFont="true" applyBorder="true" applyAlignment="false" applyProtection="false">
      <alignment horizontal="general" vertical="bottom" textRotation="0" wrapText="false" indent="0" shrinkToFit="false"/>
      <protection locked="true" hidden="false"/>
    </xf>
    <xf numFmtId="173" fontId="12" fillId="2" borderId="3" xfId="0" applyFont="true" applyBorder="true" applyAlignment="true" applyProtection="false">
      <alignment horizontal="right" vertical="bottom" textRotation="0" wrapText="false" indent="0" shrinkToFit="false"/>
      <protection locked="true" hidden="false"/>
    </xf>
    <xf numFmtId="173" fontId="12" fillId="2" borderId="8" xfId="0" applyFont="true" applyBorder="true" applyAlignment="false" applyProtection="false">
      <alignment horizontal="general" vertical="bottom" textRotation="0" wrapText="false" indent="0" shrinkToFit="false"/>
      <protection locked="true" hidden="false"/>
    </xf>
    <xf numFmtId="173" fontId="12" fillId="2" borderId="1" xfId="0" applyFont="true" applyBorder="true" applyAlignment="false" applyProtection="false">
      <alignment horizontal="general" vertical="bottom" textRotation="0" wrapText="false" indent="0" shrinkToFit="false"/>
      <protection locked="true" hidden="false"/>
    </xf>
    <xf numFmtId="173" fontId="12" fillId="2" borderId="9" xfId="0" applyFont="true" applyBorder="true" applyAlignment="false" applyProtection="false">
      <alignment horizontal="general" vertical="bottom" textRotation="0" wrapText="false" indent="0" shrinkToFit="false"/>
      <protection locked="true" hidden="false"/>
    </xf>
    <xf numFmtId="173" fontId="12" fillId="0" borderId="4" xfId="0" applyFont="true" applyBorder="true" applyAlignment="true" applyProtection="false">
      <alignment horizontal="right" vertical="bottom" textRotation="0" wrapText="false" indent="0" shrinkToFit="false"/>
      <protection locked="true" hidden="false"/>
    </xf>
    <xf numFmtId="164" fontId="20" fillId="0" borderId="0" xfId="0" applyFont="true" applyBorder="false" applyAlignment="true" applyProtection="false">
      <alignment horizontal="left" vertical="top" textRotation="0" wrapText="false" indent="0" shrinkToFit="false"/>
      <protection locked="true" hidden="false"/>
    </xf>
    <xf numFmtId="173" fontId="20" fillId="0" borderId="0" xfId="0" applyFont="true" applyBorder="false" applyAlignment="true" applyProtection="false">
      <alignment horizontal="left" vertical="top" textRotation="0" wrapText="false" indent="0" shrinkToFit="false"/>
      <protection locked="tru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65" fontId="12" fillId="0" borderId="1" xfId="0" applyFont="true" applyBorder="true" applyAlignment="false" applyProtection="false">
      <alignment horizontal="general" vertical="bottom" textRotation="0" wrapText="false" indent="0" shrinkToFit="false"/>
      <protection locked="true" hidden="false"/>
    </xf>
    <xf numFmtId="165" fontId="9" fillId="0" borderId="0" xfId="0" applyFont="true" applyBorder="true" applyAlignment="false" applyProtection="false">
      <alignment horizontal="general" vertical="bottom" textRotation="0" wrapText="false" indent="0" shrinkToFit="false"/>
      <protection locked="true" hidden="false"/>
    </xf>
    <xf numFmtId="165" fontId="12" fillId="0" borderId="0" xfId="0" applyFont="true" applyBorder="true" applyAlignment="true" applyProtection="false">
      <alignment horizontal="right" vertical="top" textRotation="0" wrapText="false" indent="0" shrinkToFit="false"/>
      <protection locked="true" hidden="false"/>
    </xf>
    <xf numFmtId="165" fontId="12" fillId="0" borderId="0" xfId="0" applyFont="true" applyBorder="true" applyAlignment="false" applyProtection="false">
      <alignment horizontal="general" vertical="bottom" textRotation="0" wrapText="false" indent="0" shrinkToFit="false"/>
      <protection locked="true" hidden="false"/>
    </xf>
    <xf numFmtId="173" fontId="12" fillId="0" borderId="1" xfId="0" applyFont="true" applyBorder="true" applyAlignment="true" applyProtection="false">
      <alignment horizontal="general" vertical="top" textRotation="0" wrapText="false" indent="0" shrinkToFit="false"/>
      <protection locked="true" hidden="false"/>
    </xf>
    <xf numFmtId="173" fontId="9" fillId="0" borderId="0" xfId="0" applyFont="true" applyBorder="false" applyAlignment="true" applyProtection="false">
      <alignment horizontal="left" vertical="top" textRotation="0" wrapText="false" indent="0" shrinkToFit="false"/>
      <protection locked="true" hidden="false"/>
    </xf>
    <xf numFmtId="173" fontId="9" fillId="0" borderId="0" xfId="0" applyFont="true" applyBorder="false" applyAlignment="true" applyProtection="false">
      <alignment horizontal="general" vertical="top" textRotation="0" wrapText="false" indent="0" shrinkToFit="false"/>
      <protection locked="true" hidden="false"/>
    </xf>
    <xf numFmtId="164" fontId="12" fillId="0" borderId="0" xfId="0" applyFont="true" applyBorder="false" applyAlignment="true" applyProtection="false">
      <alignment horizontal="left" vertical="bottom" textRotation="0" wrapText="true" indent="0" shrinkToFit="false"/>
      <protection locked="true" hidden="false"/>
    </xf>
    <xf numFmtId="173" fontId="19" fillId="0" borderId="0" xfId="0" applyFont="true" applyBorder="true" applyAlignment="true" applyProtection="false">
      <alignment horizontal="general" vertical="top" textRotation="0" wrapText="false" indent="0" shrinkToFit="false"/>
      <protection locked="true" hidden="false"/>
    </xf>
    <xf numFmtId="165" fontId="17" fillId="0" borderId="0" xfId="0" applyFont="true" applyBorder="true" applyAlignment="true" applyProtection="false">
      <alignment horizontal="center" vertical="top" textRotation="0" wrapText="false" indent="0" shrinkToFit="false"/>
      <protection locked="true" hidden="false"/>
    </xf>
    <xf numFmtId="164" fontId="20" fillId="0" borderId="0" xfId="0" applyFont="true" applyBorder="false" applyAlignment="true" applyProtection="false">
      <alignment horizontal="general" vertical="top" textRotation="0" wrapText="false" indent="0" shrinkToFit="false"/>
      <protection locked="true" hidden="false"/>
    </xf>
    <xf numFmtId="165" fontId="12" fillId="0" borderId="0" xfId="0" applyFont="true" applyBorder="true" applyAlignment="true" applyProtection="false">
      <alignment horizontal="center" vertical="top"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5" fontId="12" fillId="0" borderId="0" xfId="0" applyFont="true" applyBorder="false" applyAlignment="true" applyProtection="false">
      <alignment horizontal="center" vertical="top" textRotation="0" wrapText="false" indent="0" shrinkToFit="false"/>
      <protection locked="true" hidden="false"/>
    </xf>
    <xf numFmtId="164" fontId="12" fillId="0" borderId="0" xfId="0" applyFont="true" applyBorder="false" applyAlignment="true" applyProtection="false">
      <alignment horizontal="right" vertical="bottom" textRotation="0" wrapText="false" indent="0" shrinkToFit="false"/>
      <protection locked="true" hidden="false"/>
    </xf>
    <xf numFmtId="178" fontId="12" fillId="0" borderId="0" xfId="0" applyFont="true" applyBorder="false" applyAlignment="true" applyProtection="false">
      <alignment horizontal="left" vertical="bottom" textRotation="0" wrapText="false" indent="0" shrinkToFit="false"/>
      <protection locked="true" hidden="false"/>
    </xf>
    <xf numFmtId="164" fontId="20" fillId="0" borderId="0" xfId="0" applyFont="true" applyBorder="false" applyAlignment="true" applyProtection="false">
      <alignment horizontal="left"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0" fillId="0" borderId="0" xfId="0" applyFont="true" applyBorder="false" applyAlignment="true" applyProtection="false">
      <alignment horizontal="center" vertical="bottom" textRotation="0" wrapText="false" indent="0" shrinkToFit="false"/>
      <protection locked="true" hidden="false"/>
    </xf>
    <xf numFmtId="164" fontId="25" fillId="0" borderId="0" xfId="0" applyFont="true" applyBorder="false" applyAlignment="true" applyProtection="false">
      <alignment horizontal="left" vertical="bottom" textRotation="0" wrapText="false" indent="0" shrinkToFit="false"/>
      <protection locked="true" hidden="false"/>
    </xf>
    <xf numFmtId="164" fontId="26" fillId="0" borderId="0" xfId="0" applyFont="true" applyBorder="false" applyAlignment="true" applyProtection="false">
      <alignment horizontal="left" vertical="bottom" textRotation="0" wrapText="false" indent="0" shrinkToFit="false"/>
      <protection locked="true" hidden="false"/>
    </xf>
    <xf numFmtId="165" fontId="25" fillId="0" borderId="0" xfId="0" applyFont="true" applyBorder="false" applyAlignment="true" applyProtection="false">
      <alignment horizontal="right" vertical="bottom" textRotation="0" wrapText="false" indent="0" shrinkToFit="false"/>
      <protection locked="true" hidden="false"/>
    </xf>
    <xf numFmtId="165" fontId="19" fillId="0" borderId="0" xfId="0" applyFont="true" applyBorder="false" applyAlignment="true" applyProtection="false">
      <alignment horizontal="right" vertical="top"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27"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5" fontId="27" fillId="2"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true" indent="0" shrinkToFit="false"/>
      <protection locked="true" hidden="false"/>
    </xf>
    <xf numFmtId="164" fontId="28"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5" fontId="9" fillId="2" borderId="0" xfId="0" applyFont="true" applyBorder="false" applyAlignment="true" applyProtection="false">
      <alignment horizontal="general" vertical="top" textRotation="0" wrapText="false" indent="0" shrinkToFit="false"/>
      <protection locked="true" hidden="false"/>
    </xf>
    <xf numFmtId="164" fontId="19" fillId="0" borderId="0" xfId="0" applyFont="true" applyBorder="false" applyAlignment="true" applyProtection="false">
      <alignment horizontal="general" vertical="top"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2"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false" indent="0" shrinkToFit="false"/>
      <protection locked="true" hidden="false"/>
    </xf>
    <xf numFmtId="164" fontId="12" fillId="0" borderId="1" xfId="0" applyFont="true" applyBorder="true" applyAlignment="true" applyProtection="false">
      <alignment horizontal="general" vertical="top" textRotation="0" wrapText="false" indent="0" shrinkToFit="false"/>
      <protection locked="true" hidden="false"/>
    </xf>
    <xf numFmtId="179" fontId="12" fillId="0" borderId="0" xfId="0" applyFont="true" applyBorder="false" applyAlignment="true" applyProtection="false">
      <alignment horizontal="left" vertical="top" textRotation="0" wrapText="false" indent="0" shrinkToFit="false"/>
      <protection locked="true" hidden="false"/>
    </xf>
    <xf numFmtId="171" fontId="12" fillId="0" borderId="0" xfId="0" applyFont="true" applyBorder="true" applyAlignment="true" applyProtection="false">
      <alignment horizontal="general" vertical="top" textRotation="0" wrapText="false" indent="0" shrinkToFit="false"/>
      <protection locked="true" hidden="false"/>
    </xf>
    <xf numFmtId="180" fontId="12" fillId="0" borderId="0" xfId="0" applyFont="true" applyBorder="false" applyAlignment="true" applyProtection="false">
      <alignment horizontal="right" vertical="bottom" textRotation="0" wrapText="false" indent="0" shrinkToFit="false"/>
      <protection locked="true" hidden="false"/>
    </xf>
    <xf numFmtId="174" fontId="12" fillId="0" borderId="0" xfId="0" applyFont="true" applyBorder="false" applyAlignment="true" applyProtection="false">
      <alignment horizontal="right" vertical="bottom" textRotation="0" wrapText="false" indent="0" shrinkToFit="false"/>
      <protection locked="true" hidden="false"/>
    </xf>
    <xf numFmtId="180" fontId="20" fillId="0" borderId="0" xfId="0" applyFont="true" applyBorder="false" applyAlignment="true" applyProtection="false">
      <alignment horizontal="right" vertical="bottom" textRotation="0" wrapText="false" indent="0" shrinkToFit="false"/>
      <protection locked="true" hidden="false"/>
    </xf>
    <xf numFmtId="174" fontId="12" fillId="0" borderId="1" xfId="0" applyFont="true" applyBorder="true" applyAlignment="true" applyProtection="false">
      <alignment horizontal="right" vertical="bottom" textRotation="0" wrapText="false" indent="0" shrinkToFit="false"/>
      <protection locked="true" hidden="false"/>
    </xf>
    <xf numFmtId="164" fontId="12" fillId="0" borderId="1" xfId="0" applyFont="true" applyBorder="true" applyAlignment="false" applyProtection="false">
      <alignment horizontal="general" vertical="bottom" textRotation="0" wrapText="false" indent="0" shrinkToFit="false"/>
      <protection locked="true" hidden="false"/>
    </xf>
    <xf numFmtId="180" fontId="12" fillId="0" borderId="0" xfId="0" applyFont="true" applyBorder="false" applyAlignment="false" applyProtection="false">
      <alignment horizontal="general" vertical="bottom" textRotation="0" wrapText="false" indent="0" shrinkToFit="false"/>
      <protection locked="true" hidden="false"/>
    </xf>
    <xf numFmtId="181" fontId="12" fillId="0" borderId="0" xfId="0" applyFont="true" applyBorder="false" applyAlignment="false" applyProtection="false">
      <alignment horizontal="general" vertical="bottom" textRotation="0" wrapText="false" indent="0" shrinkToFit="false"/>
      <protection locked="true" hidden="false"/>
    </xf>
    <xf numFmtId="174" fontId="20" fillId="0" borderId="0" xfId="0" applyFont="true" applyBorder="false" applyAlignment="true" applyProtection="false">
      <alignment horizontal="right" vertical="bottom" textRotation="0" wrapText="false" indent="0" shrinkToFit="false"/>
      <protection locked="true" hidden="false"/>
    </xf>
    <xf numFmtId="170" fontId="12" fillId="0" borderId="0" xfId="0" applyFont="true" applyBorder="false" applyAlignment="false" applyProtection="false">
      <alignment horizontal="general" vertical="bottom" textRotation="0" wrapText="false" indent="0" shrinkToFit="false"/>
      <protection locked="true" hidden="false"/>
    </xf>
    <xf numFmtId="174" fontId="12" fillId="0" borderId="0" xfId="0" applyFont="true" applyBorder="false" applyAlignment="false" applyProtection="false">
      <alignment horizontal="general" vertical="bottom" textRotation="0" wrapText="false" indent="0" shrinkToFit="false"/>
      <protection locked="true" hidden="false"/>
    </xf>
    <xf numFmtId="174" fontId="20" fillId="0" borderId="0" xfId="0" applyFont="true" applyBorder="false" applyAlignment="false" applyProtection="false">
      <alignment horizontal="general" vertical="bottom" textRotation="0" wrapText="false" indent="0" shrinkToFit="false"/>
      <protection locked="true" hidden="false"/>
    </xf>
    <xf numFmtId="164" fontId="29" fillId="0" borderId="0" xfId="0" applyFont="true" applyBorder="false" applyAlignment="true" applyProtection="false">
      <alignment horizontal="left" vertical="bottom" textRotation="0" wrapText="false" indent="0" shrinkToFit="false"/>
      <protection locked="true" hidden="false"/>
    </xf>
    <xf numFmtId="165" fontId="15" fillId="0" borderId="0" xfId="0" applyFont="true" applyBorder="false" applyAlignment="true" applyProtection="false">
      <alignment horizontal="right" vertical="bottom" textRotation="0" wrapText="false" indent="0" shrinkToFit="false"/>
      <protection locked="true" hidden="false"/>
    </xf>
    <xf numFmtId="182" fontId="15" fillId="0" borderId="0" xfId="0" applyFont="true" applyBorder="false" applyAlignment="true" applyProtection="false">
      <alignment horizontal="general" vertical="top" textRotation="0" wrapText="false" indent="0" shrinkToFit="false"/>
      <protection locked="true" hidden="false"/>
    </xf>
    <xf numFmtId="165" fontId="20" fillId="0" borderId="0" xfId="0" applyFont="true" applyBorder="false" applyAlignment="true" applyProtection="false">
      <alignment horizontal="right" vertical="bottom" textRotation="0" wrapText="false" indent="0" shrinkToFit="false"/>
      <protection locked="true" hidden="false"/>
    </xf>
    <xf numFmtId="165" fontId="20"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false" applyAlignment="true" applyProtection="false">
      <alignment horizontal="general" vertical="top" textRotation="0" wrapText="false" indent="0" shrinkToFit="false"/>
      <protection locked="true" hidden="false"/>
    </xf>
    <xf numFmtId="183" fontId="12" fillId="0" borderId="0" xfId="0" applyFont="true" applyBorder="false" applyAlignment="false" applyProtection="false">
      <alignment horizontal="general" vertical="bottom" textRotation="0" wrapText="false" indent="0" shrinkToFit="false"/>
      <protection locked="true" hidden="false"/>
    </xf>
    <xf numFmtId="184" fontId="12" fillId="0" borderId="0" xfId="0" applyFont="true" applyBorder="true" applyAlignment="true" applyProtection="false">
      <alignment horizontal="right" vertical="bottom" textRotation="0" wrapText="false" indent="0" shrinkToFit="false"/>
      <protection locked="true" hidden="false"/>
    </xf>
    <xf numFmtId="176" fontId="12" fillId="0" borderId="0" xfId="0" applyFont="true" applyBorder="false" applyAlignment="true" applyProtection="false">
      <alignment horizontal="general" vertical="top" textRotation="0" wrapText="false" indent="0" shrinkToFit="false"/>
      <protection locked="true" hidden="false"/>
    </xf>
    <xf numFmtId="174" fontId="15" fillId="0" borderId="1" xfId="0" applyFont="true" applyBorder="true" applyAlignment="true" applyProtection="false">
      <alignment horizontal="right" vertical="bottom" textRotation="0" wrapText="false" indent="0" shrinkToFit="false"/>
      <protection locked="true" hidden="false"/>
    </xf>
    <xf numFmtId="176" fontId="12" fillId="0" borderId="1" xfId="0" applyFont="true" applyBorder="true" applyAlignment="true" applyProtection="false">
      <alignment horizontal="general" vertical="bottom" textRotation="0" wrapText="false" indent="0" shrinkToFit="false"/>
      <protection locked="true" hidden="false"/>
    </xf>
    <xf numFmtId="165" fontId="15" fillId="0" borderId="1"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5" fontId="18" fillId="0" borderId="0" xfId="0" applyFont="true" applyBorder="false" applyAlignment="true" applyProtection="false">
      <alignment horizontal="left" vertical="bottom" textRotation="0" wrapText="false" indent="0" shrinkToFit="false"/>
      <protection locked="true" hidden="false"/>
    </xf>
    <xf numFmtId="175" fontId="18" fillId="0" borderId="0" xfId="0" applyFont="true" applyBorder="false" applyAlignment="true" applyProtection="false">
      <alignment horizontal="left"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81" fontId="12" fillId="0" borderId="0" xfId="0" applyFont="true" applyBorder="false" applyAlignment="true" applyProtection="false">
      <alignment horizontal="right" vertical="bottom" textRotation="0" wrapText="false" indent="0" shrinkToFit="false"/>
      <protection locked="true" hidden="false"/>
    </xf>
    <xf numFmtId="182" fontId="20" fillId="0" borderId="0" xfId="0" applyFont="true" applyBorder="false" applyAlignment="true" applyProtection="false">
      <alignment horizontal="general" vertical="top" textRotation="0" wrapText="false" indent="0" shrinkToFit="false"/>
      <protection locked="true" hidden="false"/>
    </xf>
    <xf numFmtId="174" fontId="20" fillId="0" borderId="1" xfId="0" applyFont="true" applyBorder="true" applyAlignment="true" applyProtection="false">
      <alignment horizontal="right" vertical="bottom" textRotation="0" wrapText="false" indent="0" shrinkToFit="false"/>
      <protection locked="true" hidden="false"/>
    </xf>
    <xf numFmtId="170" fontId="12" fillId="0" borderId="1" xfId="19" applyFont="true" applyBorder="true" applyAlignment="true" applyProtection="true">
      <alignment horizontal="left" vertical="bottom" textRotation="0" wrapText="false" indent="0" shrinkToFit="false"/>
      <protection locked="true" hidden="false"/>
    </xf>
    <xf numFmtId="164" fontId="20" fillId="0" borderId="0" xfId="0" applyFont="true" applyBorder="false" applyAlignment="true" applyProtection="false">
      <alignment horizontal="right" vertical="top" textRotation="0" wrapText="false" indent="0" shrinkToFit="false"/>
      <protection locked="true" hidden="false"/>
    </xf>
    <xf numFmtId="164" fontId="20" fillId="0" borderId="0" xfId="0" applyFont="true" applyBorder="true" applyAlignment="true" applyProtection="false">
      <alignment horizontal="left" vertical="top" textRotation="0" wrapText="true" indent="0" shrinkToFit="false"/>
      <protection locked="true" hidden="false"/>
    </xf>
    <xf numFmtId="172" fontId="12" fillId="0" borderId="0" xfId="0" applyFont="true" applyBorder="false" applyAlignment="true" applyProtection="false">
      <alignment horizontal="general" vertical="top" textRotation="0" wrapText="false" indent="0" shrinkToFit="false"/>
      <protection locked="true" hidden="false"/>
    </xf>
    <xf numFmtId="164" fontId="19" fillId="0" borderId="0" xfId="0" applyFont="true" applyBorder="false" applyAlignment="true" applyProtection="false">
      <alignment horizontal="right" vertical="top" textRotation="0" wrapText="false" indent="0" shrinkToFit="false"/>
      <protection locked="true" hidden="false"/>
    </xf>
    <xf numFmtId="164" fontId="19" fillId="0" borderId="0" xfId="0" applyFont="true" applyBorder="false" applyAlignment="true" applyProtection="false">
      <alignment horizontal="center" vertical="top" textRotation="0" wrapText="false" indent="0" shrinkToFit="false"/>
      <protection locked="true" hidden="false"/>
    </xf>
    <xf numFmtId="178" fontId="12" fillId="0" borderId="0" xfId="0" applyFont="true" applyBorder="false" applyAlignment="true" applyProtection="false">
      <alignment horizontal="right" vertical="top" textRotation="0" wrapText="false" indent="0" shrinkToFit="false"/>
      <protection locked="true" hidden="false"/>
    </xf>
    <xf numFmtId="179" fontId="16" fillId="0" borderId="0" xfId="0" applyFont="true" applyBorder="false" applyAlignment="true" applyProtection="false">
      <alignment horizontal="general" vertical="bottom" textRotation="90" wrapText="false" indent="0" shrinkToFit="false"/>
      <protection locked="true" hidden="false"/>
    </xf>
    <xf numFmtId="164" fontId="12" fillId="0" borderId="0" xfId="0" applyFont="true" applyBorder="false" applyAlignment="true" applyProtection="false">
      <alignment horizontal="general" vertical="bottom" textRotation="90" wrapText="fals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4" fontId="12" fillId="3" borderId="0" xfId="0" applyFont="true" applyBorder="false" applyAlignment="true" applyProtection="false">
      <alignment horizontal="left" vertical="center" textRotation="0" wrapText="false" indent="0" shrinkToFit="false"/>
      <protection locked="true" hidden="false"/>
    </xf>
    <xf numFmtId="164" fontId="12" fillId="3" borderId="0" xfId="0" applyFont="true" applyBorder="false" applyAlignment="true" applyProtection="false">
      <alignment horizontal="center" vertical="center" textRotation="0" wrapText="false" indent="0" shrinkToFit="false"/>
      <protection locked="true" hidden="false"/>
    </xf>
    <xf numFmtId="164" fontId="12" fillId="3"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false" applyAlignment="true" applyProtection="false">
      <alignment horizontal="center" vertical="center" textRotation="0" wrapText="false" indent="0" shrinkToFit="false"/>
      <protection locked="true" hidden="false"/>
    </xf>
    <xf numFmtId="179" fontId="16" fillId="0" borderId="0" xfId="0" applyFont="true" applyBorder="false" applyAlignment="true" applyProtection="false">
      <alignment horizontal="general" vertical="bottom" textRotation="90" wrapText="true" indent="0" shrinkToFit="false"/>
      <protection locked="true" hidden="false"/>
    </xf>
    <xf numFmtId="181" fontId="12" fillId="0" borderId="0" xfId="0" applyFont="true" applyBorder="false" applyAlignment="true" applyProtection="false">
      <alignment horizontal="center" vertical="center" textRotation="0" wrapText="false" indent="0" shrinkToFit="false"/>
      <protection locked="true" hidden="false"/>
    </xf>
    <xf numFmtId="181" fontId="12" fillId="3" borderId="0" xfId="0" applyFont="true" applyBorder="false" applyAlignment="true" applyProtection="false">
      <alignment horizontal="center" vertical="center" textRotation="0" wrapText="false" indent="0" shrinkToFit="false"/>
      <protection locked="true" hidden="false"/>
    </xf>
    <xf numFmtId="164" fontId="12" fillId="3" borderId="0" xfId="0" applyFont="true" applyBorder="false" applyAlignment="true" applyProtection="false">
      <alignment horizontal="left" vertical="top" textRotation="0" wrapText="false" indent="0" shrinkToFit="false"/>
      <protection locked="true" hidden="false"/>
    </xf>
    <xf numFmtId="164" fontId="12" fillId="0" borderId="1" xfId="0" applyFont="true" applyBorder="true" applyAlignment="true" applyProtection="false">
      <alignment horizontal="center" vertical="center" textRotation="0" wrapText="false" indent="0" shrinkToFit="false"/>
      <protection locked="true" hidden="false"/>
    </xf>
    <xf numFmtId="179" fontId="12" fillId="0" borderId="0" xfId="24" applyFont="true" applyBorder="false" applyAlignment="true" applyProtection="false">
      <alignment horizontal="left" vertical="top" textRotation="0" wrapText="false" indent="0" shrinkToFit="false"/>
      <protection locked="true" hidden="false"/>
    </xf>
    <xf numFmtId="164" fontId="12" fillId="0" borderId="0" xfId="24" applyFont="true" applyBorder="false" applyAlignment="true" applyProtection="false">
      <alignment horizontal="general" vertical="top" textRotation="0" wrapText="false" indent="0" shrinkToFit="false"/>
      <protection locked="true" hidden="false"/>
    </xf>
    <xf numFmtId="164" fontId="12" fillId="0" borderId="0" xfId="24" applyFont="true" applyBorder="false" applyAlignment="true" applyProtection="false">
      <alignment horizontal="left" vertical="top" textRotation="0" wrapText="false" indent="0" shrinkToFit="false"/>
      <protection locked="true" hidden="false"/>
    </xf>
    <xf numFmtId="164" fontId="0" fillId="0" borderId="0" xfId="20" applyFont="false" applyBorder="false" applyAlignment="false" applyProtection="false">
      <alignment horizontal="general" vertical="bottom" textRotation="0" wrapText="false" indent="0" shrinkToFit="false"/>
      <protection locked="true" hidden="false"/>
    </xf>
    <xf numFmtId="164" fontId="16" fillId="0" borderId="0" xfId="24" applyFont="true" applyBorder="false" applyAlignment="true" applyProtection="false">
      <alignment horizontal="general" vertical="top" textRotation="0" wrapText="false" indent="0" shrinkToFit="false"/>
      <protection locked="true" hidden="false"/>
    </xf>
    <xf numFmtId="179" fontId="12" fillId="0" borderId="0" xfId="24" applyFont="true" applyBorder="false" applyAlignment="true" applyProtection="false">
      <alignment horizontal="general" vertical="bottom" textRotation="2" wrapText="true" indent="0" shrinkToFit="false"/>
      <protection locked="true" hidden="false"/>
    </xf>
    <xf numFmtId="164" fontId="12" fillId="0" borderId="0" xfId="24" applyFont="true" applyBorder="false" applyAlignment="true" applyProtection="false">
      <alignment horizontal="general" vertical="bottom" textRotation="90" wrapText="true" indent="0" shrinkToFit="false"/>
      <protection locked="true" hidden="false"/>
    </xf>
    <xf numFmtId="170" fontId="12" fillId="0" borderId="0" xfId="24" applyFont="true" applyBorder="false" applyAlignment="true" applyProtection="false">
      <alignment horizontal="general" vertical="bottom" textRotation="90" wrapText="true" indent="0" shrinkToFit="false"/>
      <protection locked="true" hidden="false"/>
    </xf>
    <xf numFmtId="179" fontId="12" fillId="0" borderId="0" xfId="24" applyFont="true" applyBorder="false" applyAlignment="true" applyProtection="false">
      <alignment horizontal="general" vertical="bottom" textRotation="90" wrapText="true" indent="0" shrinkToFit="false"/>
      <protection locked="true" hidden="false"/>
    </xf>
    <xf numFmtId="164" fontId="12" fillId="0" borderId="0" xfId="24" applyFont="true" applyBorder="false" applyAlignment="true" applyProtection="false">
      <alignment horizontal="general" vertical="bottom" textRotation="90" wrapText="true" indent="0" shrinkToFit="false"/>
      <protection locked="true" hidden="false"/>
    </xf>
    <xf numFmtId="164" fontId="0" fillId="0" borderId="0" xfId="20" applyFont="false" applyBorder="false" applyAlignment="true" applyProtection="false">
      <alignment horizontal="general" vertical="bottom" textRotation="90" wrapText="true" indent="0" shrinkToFit="false"/>
      <protection locked="true" hidden="false"/>
    </xf>
    <xf numFmtId="179" fontId="12" fillId="0" borderId="0" xfId="24" applyFont="true" applyBorder="false" applyAlignment="true" applyProtection="false">
      <alignment horizontal="general" vertical="bottom" textRotation="0" wrapText="true" indent="0" shrinkToFit="false"/>
      <protection locked="true" hidden="false"/>
    </xf>
    <xf numFmtId="179" fontId="12" fillId="0" borderId="0" xfId="24" applyFont="true" applyBorder="false" applyAlignment="true" applyProtection="false">
      <alignment horizontal="general" vertical="bottom" textRotation="90" wrapText="false" indent="0" shrinkToFit="false"/>
      <protection locked="true" hidden="false"/>
    </xf>
    <xf numFmtId="164" fontId="12" fillId="0" borderId="0" xfId="24" applyFont="true" applyBorder="false" applyAlignment="true" applyProtection="false">
      <alignment horizontal="general" vertical="bottom" textRotation="0" wrapText="true" indent="0" shrinkToFit="false"/>
      <protection locked="true" hidden="false"/>
    </xf>
    <xf numFmtId="164" fontId="12" fillId="0" borderId="0" xfId="24" applyFont="true" applyBorder="false" applyAlignment="true" applyProtection="false">
      <alignment horizontal="general" vertical="bottom" textRotation="90" wrapText="false" indent="0" shrinkToFit="false"/>
      <protection locked="true" hidden="false"/>
    </xf>
    <xf numFmtId="164" fontId="20" fillId="0" borderId="0" xfId="24" applyFont="true" applyBorder="false" applyAlignment="true" applyProtection="false">
      <alignment horizontal="general" vertical="bottom" textRotation="0" wrapText="true" indent="0" shrinkToFit="false"/>
      <protection locked="true" hidden="false"/>
    </xf>
    <xf numFmtId="164" fontId="12" fillId="0" borderId="0" xfId="24" applyFont="true" applyBorder="false" applyAlignment="true" applyProtection="false">
      <alignment horizontal="center" vertical="bottom" textRotation="90" wrapText="true" indent="0" shrinkToFit="false"/>
      <protection locked="true" hidden="false"/>
    </xf>
    <xf numFmtId="180" fontId="12" fillId="0" borderId="0" xfId="24" applyFont="true" applyBorder="false" applyAlignment="true" applyProtection="false">
      <alignment horizontal="center" vertical="center" textRotation="0" wrapText="false" indent="0" shrinkToFit="false"/>
      <protection locked="true" hidden="false"/>
    </xf>
    <xf numFmtId="180" fontId="12" fillId="3" borderId="0" xfId="24" applyFont="true" applyBorder="false" applyAlignment="true" applyProtection="false">
      <alignment horizontal="center" vertical="center" textRotation="0" wrapText="false" indent="0" shrinkToFit="false"/>
      <protection locked="true" hidden="false"/>
    </xf>
    <xf numFmtId="180" fontId="15" fillId="3" borderId="0" xfId="24" applyFont="true" applyBorder="false" applyAlignment="true" applyProtection="false">
      <alignment horizontal="center" vertical="center" textRotation="0" wrapText="false" indent="0" shrinkToFit="false"/>
      <protection locked="true" hidden="false"/>
    </xf>
    <xf numFmtId="164" fontId="0" fillId="3" borderId="0" xfId="20" applyFont="fals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80" fontId="15" fillId="0" borderId="0" xfId="24" applyFont="true" applyBorder="false" applyAlignment="true" applyProtection="false">
      <alignment horizontal="center" vertical="center" textRotation="0" wrapText="false" indent="0" shrinkToFit="false"/>
      <protection locked="true" hidden="false"/>
    </xf>
    <xf numFmtId="180" fontId="20" fillId="0" borderId="0" xfId="24" applyFont="true" applyBorder="false" applyAlignment="true" applyProtection="false">
      <alignment horizontal="left" vertical="center" textRotation="0" wrapText="false" indent="0" shrinkToFit="false"/>
      <protection locked="true" hidden="false"/>
    </xf>
    <xf numFmtId="180" fontId="20" fillId="0" borderId="0" xfId="24" applyFont="true" applyBorder="false" applyAlignment="true" applyProtection="false">
      <alignment horizontal="center" vertical="center" textRotation="0" wrapText="false" indent="0" shrinkToFit="false"/>
      <protection locked="true" hidden="false"/>
    </xf>
    <xf numFmtId="180" fontId="20" fillId="3" borderId="0" xfId="24" applyFont="true" applyBorder="false" applyAlignment="true" applyProtection="false">
      <alignment horizontal="center" vertical="center" textRotation="0" wrapText="false" indent="0" shrinkToFit="false"/>
      <protection locked="true" hidden="false"/>
    </xf>
    <xf numFmtId="180" fontId="12" fillId="0" borderId="0" xfId="24" applyFont="true" applyBorder="true" applyAlignment="true" applyProtection="false">
      <alignment horizontal="center" vertical="center" textRotation="0" wrapText="false" indent="0" shrinkToFit="false"/>
      <protection locked="true" hidden="false"/>
    </xf>
    <xf numFmtId="179" fontId="12" fillId="2" borderId="0" xfId="24" applyFont="true" applyBorder="false" applyAlignment="true" applyProtection="false">
      <alignment horizontal="left" vertical="top" textRotation="0" wrapText="false" indent="0" shrinkToFit="false"/>
      <protection locked="true" hidden="false"/>
    </xf>
    <xf numFmtId="180" fontId="12" fillId="2" borderId="0" xfId="24" applyFont="true" applyBorder="false" applyAlignment="true" applyProtection="false">
      <alignment horizontal="center" vertical="center" textRotation="0" wrapText="false" indent="0" shrinkToFit="false"/>
      <protection locked="true" hidden="false"/>
    </xf>
    <xf numFmtId="179" fontId="12" fillId="0" borderId="1" xfId="24" applyFont="true" applyBorder="true" applyAlignment="true" applyProtection="false">
      <alignment horizontal="left" vertical="top" textRotation="0" wrapText="false" indent="0" shrinkToFit="false"/>
      <protection locked="true" hidden="false"/>
    </xf>
    <xf numFmtId="180" fontId="12" fillId="0" borderId="1" xfId="24" applyFont="true" applyBorder="true" applyAlignment="true" applyProtection="false">
      <alignment horizontal="center" vertical="center" textRotation="0" wrapText="false" indent="0" shrinkToFit="false"/>
      <protection locked="true" hidden="false"/>
    </xf>
    <xf numFmtId="164" fontId="12" fillId="0" borderId="1" xfId="24" applyFont="true" applyBorder="true" applyAlignment="true" applyProtection="false">
      <alignment horizontal="general" vertical="top" textRotation="0" wrapText="false" indent="0" shrinkToFit="false"/>
      <protection locked="true" hidden="false"/>
    </xf>
    <xf numFmtId="181" fontId="12" fillId="0" borderId="0" xfId="24" applyFont="true" applyBorder="false" applyAlignment="true" applyProtection="false">
      <alignment horizontal="right" vertical="top" textRotation="0" wrapText="false" indent="0" shrinkToFit="false"/>
      <protection locked="true" hidden="false"/>
    </xf>
    <xf numFmtId="181" fontId="12" fillId="0" borderId="0" xfId="24" applyFont="true" applyBorder="false" applyAlignment="true" applyProtection="false">
      <alignment horizontal="right" vertical="top" textRotation="90" wrapText="false" indent="0" shrinkToFit="false"/>
      <protection locked="true" hidden="false"/>
    </xf>
    <xf numFmtId="181" fontId="20" fillId="0" borderId="0" xfId="24" applyFont="true" applyBorder="false" applyAlignment="true" applyProtection="false">
      <alignment horizontal="right" vertical="top" textRotation="90" wrapText="false" indent="0" shrinkToFit="false"/>
      <protection locked="true" hidden="false"/>
    </xf>
    <xf numFmtId="181" fontId="20" fillId="0" borderId="0" xfId="24" applyFont="true" applyBorder="false" applyAlignment="true" applyProtection="false">
      <alignment horizontal="right" vertical="top" textRotation="0" wrapText="false" indent="0" shrinkToFit="false"/>
      <protection locked="true" hidden="false"/>
    </xf>
    <xf numFmtId="181" fontId="12" fillId="0" borderId="0" xfId="24" applyFont="true" applyBorder="false" applyAlignment="true" applyProtection="false">
      <alignment horizontal="right" vertical="center" textRotation="0" wrapText="false" indent="0" shrinkToFit="false"/>
      <protection locked="true" hidden="false"/>
    </xf>
    <xf numFmtId="185" fontId="0" fillId="0" borderId="0" xfId="20" applyFont="false" applyBorder="false" applyAlignment="false" applyProtection="false">
      <alignment horizontal="general" vertical="bottom" textRotation="0" wrapText="false" indent="0" shrinkToFit="false"/>
      <protection locked="true" hidden="false"/>
    </xf>
    <xf numFmtId="181" fontId="12" fillId="0" borderId="0" xfId="24" applyFont="true" applyBorder="false" applyAlignment="true" applyProtection="false">
      <alignment horizontal="right" vertical="top" textRotation="1" wrapText="false" indent="0" shrinkToFit="false"/>
      <protection locked="true" hidden="false"/>
    </xf>
    <xf numFmtId="185" fontId="0" fillId="3" borderId="0" xfId="20" applyFont="false" applyBorder="false" applyAlignment="false" applyProtection="false">
      <alignment horizontal="general" vertical="bottom" textRotation="0" wrapText="false" indent="0" shrinkToFit="false"/>
      <protection locked="true" hidden="false"/>
    </xf>
    <xf numFmtId="181" fontId="12" fillId="0" borderId="0" xfId="24" applyFont="true" applyBorder="false" applyAlignment="true" applyProtection="false">
      <alignment horizontal="right" vertical="top" textRotation="0" wrapText="true" indent="0" shrinkToFit="false"/>
      <protection locked="true" hidden="false"/>
    </xf>
    <xf numFmtId="181" fontId="12" fillId="0" borderId="0" xfId="24" applyFont="true" applyBorder="false" applyAlignment="true" applyProtection="false">
      <alignment horizontal="left" vertical="center" textRotation="0" wrapText="false" indent="0" shrinkToFit="false"/>
      <protection locked="true" hidden="false"/>
    </xf>
    <xf numFmtId="186" fontId="12" fillId="0" borderId="0" xfId="24" applyFont="true" applyBorder="true" applyAlignment="true" applyProtection="false">
      <alignment horizontal="right" vertical="top" textRotation="0" wrapText="true" indent="0" shrinkToFit="false"/>
      <protection locked="true" hidden="false"/>
    </xf>
    <xf numFmtId="186" fontId="12" fillId="0" borderId="0" xfId="24" applyFont="true" applyBorder="false" applyAlignment="true" applyProtection="false">
      <alignment horizontal="right" vertical="top" textRotation="90" wrapText="false" indent="0" shrinkToFit="false"/>
      <protection locked="true" hidden="false"/>
    </xf>
    <xf numFmtId="186" fontId="15" fillId="0" borderId="0" xfId="24" applyFont="true" applyBorder="false" applyAlignment="true" applyProtection="false">
      <alignment horizontal="right" vertical="top" textRotation="90" wrapText="false" indent="0" shrinkToFit="false"/>
      <protection locked="true" hidden="false"/>
    </xf>
    <xf numFmtId="186" fontId="12" fillId="0" borderId="0" xfId="24" applyFont="true" applyBorder="false" applyAlignment="true" applyProtection="false">
      <alignment horizontal="left" vertical="center" textRotation="0" wrapText="false" indent="0" shrinkToFit="false"/>
      <protection locked="true" hidden="false"/>
    </xf>
    <xf numFmtId="186" fontId="0" fillId="0" borderId="0" xfId="20" applyFont="false" applyBorder="false" applyAlignment="false" applyProtection="false">
      <alignment horizontal="general" vertical="bottom" textRotation="0" wrapText="false" indent="0" shrinkToFit="false"/>
      <protection locked="true" hidden="false"/>
    </xf>
    <xf numFmtId="180" fontId="12" fillId="0" borderId="0" xfId="24" applyFont="true" applyBorder="false" applyAlignment="true" applyProtection="false">
      <alignment horizontal="center" vertical="center" textRotation="90" wrapText="false" indent="0" shrinkToFit="false"/>
      <protection locked="true" hidden="false"/>
    </xf>
    <xf numFmtId="180" fontId="20" fillId="0" borderId="0" xfId="24" applyFont="true" applyBorder="false" applyAlignment="true" applyProtection="false">
      <alignment horizontal="center" vertical="center" textRotation="90" wrapText="false" indent="0" shrinkToFit="false"/>
      <protection locked="true" hidden="false"/>
    </xf>
    <xf numFmtId="164" fontId="12" fillId="0" borderId="0" xfId="24" applyFont="true" applyBorder="false" applyAlignment="true" applyProtection="false">
      <alignment horizontal="general" vertical="top" textRotation="90" wrapText="false" indent="0" shrinkToFit="false"/>
      <protection locked="true" hidden="false"/>
    </xf>
    <xf numFmtId="164" fontId="12" fillId="0" borderId="0" xfId="24" applyFont="true" applyBorder="false" applyAlignment="true" applyProtection="false">
      <alignment horizontal="center" vertical="center" textRotation="0" wrapText="false" indent="0" shrinkToFit="false"/>
      <protection locked="true" hidden="false"/>
    </xf>
    <xf numFmtId="164" fontId="12" fillId="0" borderId="0" xfId="24" applyFont="true" applyBorder="false" applyAlignment="true" applyProtection="false">
      <alignment horizontal="center" vertical="center" textRotation="0" wrapText="false" indent="0" shrinkToFit="false"/>
      <protection locked="true" hidden="false"/>
    </xf>
    <xf numFmtId="181" fontId="12" fillId="0" borderId="1" xfId="24" applyFont="true" applyBorder="true" applyAlignment="true" applyProtection="false">
      <alignment horizontal="center" vertical="center" textRotation="0" wrapText="false" indent="0" shrinkToFit="false"/>
      <protection locked="true" hidden="false"/>
    </xf>
    <xf numFmtId="164" fontId="12" fillId="0" borderId="0" xfId="24" applyFont="true" applyBorder="false" applyAlignment="true" applyProtection="false">
      <alignment horizontal="right" vertical="center" textRotation="0" wrapText="false" indent="0" shrinkToFit="false"/>
      <protection locked="true" hidden="false"/>
    </xf>
    <xf numFmtId="181" fontId="12" fillId="0" borderId="0" xfId="24" applyFont="true" applyBorder="false" applyAlignment="true" applyProtection="false">
      <alignment horizontal="center" vertical="center" textRotation="0" wrapText="false" indent="0" shrinkToFit="false"/>
      <protection locked="true" hidden="false"/>
    </xf>
    <xf numFmtId="181" fontId="12" fillId="0" borderId="1" xfId="24" applyFont="true" applyBorder="true" applyAlignment="true" applyProtection="false">
      <alignment horizontal="center" vertical="center" textRotation="0" wrapText="false" indent="0" shrinkToFit="false"/>
      <protection locked="true" hidden="false"/>
    </xf>
    <xf numFmtId="180" fontId="12" fillId="0" borderId="0" xfId="24" applyFont="true" applyBorder="false" applyAlignment="true" applyProtection="false">
      <alignment horizontal="right" vertical="center" textRotation="0" wrapText="false" indent="0" shrinkToFit="false"/>
      <protection locked="true" hidden="false"/>
    </xf>
    <xf numFmtId="164" fontId="20" fillId="0" borderId="0" xfId="24" applyFont="true" applyBorder="false" applyAlignment="true" applyProtection="false">
      <alignment horizontal="right" vertical="center" textRotation="0" wrapText="false" indent="0" shrinkToFit="false"/>
      <protection locked="true" hidden="false"/>
    </xf>
    <xf numFmtId="180" fontId="20" fillId="0" borderId="0" xfId="24" applyFont="true" applyBorder="false" applyAlignment="true" applyProtection="false">
      <alignment horizontal="right" vertical="center" textRotation="0" wrapText="false" indent="0" shrinkToFit="false"/>
      <protection locked="true" hidden="false"/>
    </xf>
    <xf numFmtId="164" fontId="30" fillId="0" borderId="0" xfId="24" applyFont="true" applyBorder="false" applyAlignment="true" applyProtection="false">
      <alignment horizontal="right" vertical="top" textRotation="0" wrapText="false" indent="0" shrinkToFit="false"/>
      <protection locked="true" hidden="false"/>
    </xf>
    <xf numFmtId="164" fontId="30" fillId="0" borderId="0" xfId="24" applyFont="true" applyBorder="false" applyAlignment="true" applyProtection="false">
      <alignment horizontal="right" vertical="center" textRotation="0" wrapText="false" indent="0" shrinkToFit="false"/>
      <protection locked="true" hidden="false"/>
    </xf>
    <xf numFmtId="180" fontId="30" fillId="0" borderId="0" xfId="24" applyFont="true" applyBorder="false" applyAlignment="true" applyProtection="false">
      <alignment horizontal="right" vertical="center" textRotation="0" wrapText="false" indent="0" shrinkToFit="false"/>
      <protection locked="true" hidden="false"/>
    </xf>
    <xf numFmtId="165" fontId="8" fillId="0" borderId="0" xfId="0" applyFont="true" applyBorder="false" applyAlignment="true" applyProtection="false">
      <alignment horizontal="general" vertical="top" textRotation="0" wrapText="false" indent="0" shrinkToFit="false"/>
      <protection locked="true" hidden="false"/>
    </xf>
    <xf numFmtId="178" fontId="12" fillId="0" borderId="0" xfId="0" applyFont="true" applyBorder="false" applyAlignment="true" applyProtection="false">
      <alignment horizontal="left" vertical="top" textRotation="0" wrapText="false" indent="0" shrinkToFit="false"/>
      <protection locked="true" hidden="false"/>
    </xf>
    <xf numFmtId="187" fontId="12" fillId="0" borderId="0" xfId="0" applyFont="true" applyBorder="false" applyAlignment="true" applyProtection="false">
      <alignment horizontal="left" vertical="top" textRotation="0" wrapText="false" indent="0" shrinkToFit="false"/>
      <protection locked="true" hidden="false"/>
    </xf>
    <xf numFmtId="184" fontId="12" fillId="0" borderId="0" xfId="0" applyFont="true" applyBorder="true" applyAlignment="true" applyProtection="false">
      <alignment horizontal="left" vertical="top" textRotation="0" wrapText="false" indent="0" shrinkToFit="false"/>
      <protection locked="true" hidden="false"/>
    </xf>
    <xf numFmtId="184" fontId="12" fillId="0" borderId="0" xfId="0" applyFont="true" applyBorder="false" applyAlignment="true" applyProtection="false">
      <alignment horizontal="left" vertical="top" textRotation="0" wrapText="false" indent="0" shrinkToFit="false"/>
      <protection locked="true" hidden="false"/>
    </xf>
    <xf numFmtId="164" fontId="0" fillId="2" borderId="0" xfId="0" applyFont="true" applyBorder="false" applyAlignment="true" applyProtection="false">
      <alignment horizontal="left" vertical="bottom" textRotation="0" wrapText="false" indent="0" shrinkToFit="false"/>
      <protection locked="true" hidden="false"/>
    </xf>
    <xf numFmtId="187" fontId="20" fillId="0" borderId="0" xfId="0" applyFont="true" applyBorder="false" applyAlignment="true" applyProtection="false">
      <alignment horizontal="left" vertical="top" textRotation="0" wrapText="false" indent="0" shrinkToFit="false"/>
      <protection locked="true" hidden="false"/>
    </xf>
    <xf numFmtId="165" fontId="31" fillId="0" borderId="0" xfId="0" applyFont="true" applyBorder="false" applyAlignment="true" applyProtection="false">
      <alignment horizontal="left" vertical="top" textRotation="0" wrapText="false" indent="0" shrinkToFit="false"/>
      <protection locked="true" hidden="false"/>
    </xf>
    <xf numFmtId="165" fontId="20" fillId="0" borderId="0" xfId="0" applyFont="true" applyBorder="false" applyAlignment="true" applyProtection="false">
      <alignment horizontal="left" vertical="top" textRotation="0" wrapText="false" indent="0" shrinkToFit="false"/>
      <protection locked="true" hidden="false"/>
    </xf>
    <xf numFmtId="165" fontId="19" fillId="0" borderId="0" xfId="0" applyFont="true" applyBorder="true" applyAlignment="true" applyProtection="false">
      <alignment horizontal="left" vertical="top" textRotation="0" wrapText="false" indent="0" shrinkToFit="false"/>
      <protection locked="true" hidden="false"/>
    </xf>
    <xf numFmtId="165" fontId="20" fillId="0" borderId="0" xfId="0" applyFont="true" applyBorder="true" applyAlignment="true" applyProtection="false">
      <alignment horizontal="left" vertical="top" textRotation="0" wrapText="false" indent="0" shrinkToFit="false"/>
      <protection locked="true" hidden="false"/>
    </xf>
    <xf numFmtId="164" fontId="32"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33"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true" applyProtection="false">
      <alignment horizontal="left" vertical="top" textRotation="0" wrapText="false" indent="0" shrinkToFit="false"/>
      <protection locked="true" hidden="false"/>
    </xf>
    <xf numFmtId="180" fontId="12" fillId="0" borderId="0" xfId="0" applyFont="true" applyBorder="false" applyAlignment="true" applyProtection="false">
      <alignment horizontal="left" vertical="top"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20" fillId="0" borderId="0" xfId="0" applyFont="true" applyBorder="true" applyAlignment="true" applyProtection="false">
      <alignment horizontal="general" vertical="top" textRotation="0" wrapText="true" indent="0" shrinkToFit="false"/>
      <protection locked="true" hidden="false"/>
    </xf>
    <xf numFmtId="164" fontId="0" fillId="2" borderId="0" xfId="0" applyFont="true" applyBorder="false" applyAlignment="true" applyProtection="false">
      <alignment horizontal="right" vertical="bottom" textRotation="0" wrapText="false" indent="0" shrinkToFit="false"/>
      <protection locked="true" hidden="false"/>
    </xf>
    <xf numFmtId="165" fontId="19" fillId="0" borderId="0" xfId="0" applyFont="true" applyBorder="false" applyAlignment="true" applyProtection="false">
      <alignment horizontal="left" vertical="top" textRotation="0" wrapText="false" indent="0" shrinkToFit="false"/>
      <protection locked="true" hidden="false"/>
    </xf>
    <xf numFmtId="164" fontId="20" fillId="0" borderId="0" xfId="0" applyFont="true" applyBorder="true" applyAlignment="true" applyProtection="false">
      <alignment horizontal="general" vertical="top" textRotation="0" wrapText="false" indent="0" shrinkToFit="false"/>
      <protection locked="true" hidden="false"/>
    </xf>
    <xf numFmtId="165" fontId="12" fillId="2" borderId="0" xfId="0" applyFont="true" applyBorder="false" applyAlignment="true" applyProtection="false">
      <alignment horizontal="general" vertical="top" textRotation="0" wrapText="false" indent="0" shrinkToFit="false"/>
      <protection locked="true" hidden="false"/>
    </xf>
    <xf numFmtId="164" fontId="16" fillId="0" borderId="0" xfId="0" applyFont="true" applyBorder="false" applyAlignment="true" applyProtection="false">
      <alignment horizontal="left"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false" indent="0" shrinkToFit="false"/>
      <protection locked="true" hidden="false"/>
    </xf>
    <xf numFmtId="164" fontId="19" fillId="0" borderId="0" xfId="0" applyFont="true" applyBorder="false" applyAlignment="true" applyProtection="false">
      <alignment horizontal="right"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20" fillId="0" borderId="1" xfId="0" applyFont="true" applyBorder="true" applyAlignment="true" applyProtection="false">
      <alignment horizontal="left" vertical="bottom" textRotation="0" wrapText="false" indent="0" shrinkToFit="false"/>
      <protection locked="true" hidden="false"/>
    </xf>
    <xf numFmtId="164" fontId="8" fillId="0" borderId="0" xfId="0" applyFont="true" applyBorder="false" applyAlignment="true" applyProtection="false">
      <alignment horizontal="center" vertical="top" textRotation="0" wrapText="false" indent="0" shrinkToFit="false"/>
      <protection locked="true" hidden="false"/>
    </xf>
    <xf numFmtId="173" fontId="8" fillId="0" borderId="0" xfId="0" applyFont="true" applyBorder="false" applyAlignment="true" applyProtection="false">
      <alignment horizontal="left" vertical="top" textRotation="0" wrapText="false" indent="0" shrinkToFit="false"/>
      <protection locked="true" hidden="false"/>
    </xf>
    <xf numFmtId="173" fontId="8" fillId="0" borderId="0" xfId="0" applyFont="true" applyBorder="false" applyAlignment="true" applyProtection="false">
      <alignment horizontal="right" vertical="top" textRotation="0" wrapText="false" indent="0" shrinkToFit="false"/>
      <protection locked="true" hidden="false"/>
    </xf>
    <xf numFmtId="164" fontId="30" fillId="0" borderId="0" xfId="0" applyFont="true" applyBorder="false" applyAlignment="true" applyProtection="false">
      <alignment horizontal="left" vertical="top" textRotation="0" wrapText="false" indent="0" shrinkToFit="false"/>
      <protection locked="true" hidden="false"/>
    </xf>
    <xf numFmtId="188" fontId="12" fillId="0" borderId="4" xfId="0" applyFont="true" applyBorder="true" applyAlignment="false" applyProtection="false">
      <alignment horizontal="general" vertical="bottom" textRotation="0" wrapText="false" indent="0" shrinkToFit="false"/>
      <protection locked="true" hidden="false"/>
    </xf>
    <xf numFmtId="173" fontId="12" fillId="3" borderId="0" xfId="0" applyFont="true" applyBorder="false" applyAlignment="false" applyProtection="false">
      <alignment horizontal="general" vertical="bottom" textRotation="0" wrapText="false" indent="0" shrinkToFit="false"/>
      <protection locked="true" hidden="false"/>
    </xf>
    <xf numFmtId="173" fontId="19" fillId="3" borderId="0" xfId="0" applyFont="true" applyBorder="false" applyAlignment="false" applyProtection="false">
      <alignment horizontal="general" vertical="bottom" textRotation="0" wrapText="false" indent="0" shrinkToFit="false"/>
      <protection locked="true" hidden="false"/>
    </xf>
    <xf numFmtId="188" fontId="12" fillId="0" borderId="10" xfId="0" applyFont="true" applyBorder="true" applyAlignment="false" applyProtection="false">
      <alignment horizontal="general" vertical="bottom" textRotation="0" wrapText="false" indent="0" shrinkToFit="false"/>
      <protection locked="true" hidden="false"/>
    </xf>
    <xf numFmtId="188" fontId="12" fillId="2" borderId="10"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cellXfs>
  <cellStyles count="17">
    <cellStyle name="Normal" xfId="0" builtinId="0"/>
    <cellStyle name="Comma" xfId="15" builtinId="3"/>
    <cellStyle name="Comma [0]" xfId="16" builtinId="6"/>
    <cellStyle name="Currency" xfId="17" builtinId="4"/>
    <cellStyle name="Currency [0]" xfId="18" builtinId="7"/>
    <cellStyle name="Percent" xfId="19" builtinId="5"/>
    <cellStyle name="Normal_Craft - All Labor" xfId="20"/>
    <cellStyle name="Normal_Debris Removal" xfId="21"/>
    <cellStyle name="Normal_Final Cross Reference Inv" xfId="22"/>
    <cellStyle name="Normal_Invoices-Press" xfId="23"/>
    <cellStyle name="Normal_PD Claim Review" xfId="24"/>
    <cellStyle name="Normal_Ppty. Damage" xfId="25"/>
    <cellStyle name="Normal_Property Damage" xfId="26"/>
    <cellStyle name="Normal_Summary" xfId="27"/>
    <cellStyle name="Normal_Summary_1" xfId="28"/>
    <cellStyle name="Normal_Summary_Property Damage" xfId="29"/>
    <cellStyle name="Normal_Time Element" xfId="3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875" defaultRowHeight="15" customHeight="true" zeroHeight="false" outlineLevelRow="0" outlineLevelCol="0"/>
  <cols>
    <col collapsed="false" customWidth="true" hidden="false" outlineLevel="0" max="1" min="1" style="1" width="6.66"/>
    <col collapsed="false" customWidth="true" hidden="false" outlineLevel="0" max="2" min="2" style="1" width="19.43"/>
    <col collapsed="false" customWidth="true" hidden="false" outlineLevel="0" max="3" min="3" style="2" width="14.55"/>
    <col collapsed="false" customWidth="true" hidden="false" outlineLevel="0" max="4" min="4" style="2" width="20.55"/>
    <col collapsed="false" customWidth="true" hidden="false" outlineLevel="0" max="5" min="5" style="2" width="22.88"/>
    <col collapsed="false" customWidth="true" hidden="false" outlineLevel="0" max="6" min="6" style="2" width="20.55"/>
    <col collapsed="false" customWidth="true" hidden="false" outlineLevel="0" max="7" min="7" style="1" width="20.77"/>
    <col collapsed="false" customWidth="true" hidden="false" outlineLevel="0" max="12" min="8" style="0" width="9.06"/>
    <col collapsed="false" customWidth="false" hidden="false" outlineLevel="0" max="257" min="13" style="1" width="8.87"/>
  </cols>
  <sheetData>
    <row r="1" customFormat="false" ht="5.25" hidden="false" customHeight="true" outlineLevel="0" collapsed="false">
      <c r="A1" s="3"/>
      <c r="B1" s="3"/>
      <c r="C1" s="4"/>
      <c r="D1" s="4"/>
      <c r="E1" s="4"/>
      <c r="F1" s="4"/>
      <c r="G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row>
    <row r="2" customFormat="false" ht="15" hidden="false" customHeight="false" outlineLevel="0" collapsed="false">
      <c r="A2" s="3" t="s">
        <v>0</v>
      </c>
      <c r="B2" s="3"/>
      <c r="C2" s="4"/>
      <c r="D2" s="5"/>
      <c r="E2" s="5"/>
      <c r="F2" s="5"/>
      <c r="G2" s="4"/>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row>
    <row r="3" customFormat="false" ht="15" hidden="false" customHeight="false" outlineLevel="0" collapsed="false">
      <c r="A3" s="3" t="s">
        <v>1</v>
      </c>
      <c r="B3" s="3"/>
      <c r="C3" s="6" t="s">
        <v>2</v>
      </c>
      <c r="D3" s="7"/>
      <c r="E3" s="7"/>
      <c r="F3" s="7"/>
      <c r="G3" s="4"/>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customFormat="false" ht="15" hidden="false" customHeight="false" outlineLevel="0" collapsed="false">
      <c r="A4" s="3" t="s">
        <v>3</v>
      </c>
      <c r="B4" s="3"/>
      <c r="C4" s="4" t="s">
        <v>4</v>
      </c>
      <c r="D4" s="5"/>
      <c r="E4" s="5"/>
      <c r="F4" s="5"/>
      <c r="G4" s="4"/>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row>
    <row r="5" customFormat="false" ht="16.8" hidden="false" customHeight="false" outlineLevel="0" collapsed="false">
      <c r="A5" s="8"/>
      <c r="B5" s="9"/>
      <c r="C5" s="10"/>
      <c r="D5" s="10"/>
      <c r="E5" s="10"/>
      <c r="F5" s="10"/>
      <c r="G5" s="9"/>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row>
    <row r="6" customFormat="false" ht="20.4" hidden="false" customHeight="false" outlineLevel="0" collapsed="false">
      <c r="A6" s="11" t="s">
        <v>5</v>
      </c>
      <c r="B6" s="12"/>
      <c r="C6" s="13"/>
      <c r="D6" s="14"/>
      <c r="E6" s="14"/>
      <c r="F6" s="14"/>
      <c r="G6" s="12"/>
    </row>
    <row r="7" customFormat="false" ht="16.8" hidden="false" customHeight="false" outlineLevel="0" collapsed="false">
      <c r="A7" s="8"/>
      <c r="B7" s="12"/>
      <c r="C7" s="14"/>
      <c r="D7" s="14"/>
      <c r="E7" s="14"/>
      <c r="F7" s="14"/>
      <c r="G7" s="12"/>
    </row>
    <row r="8" customFormat="false" ht="32.25" hidden="false" customHeight="true" outlineLevel="0" collapsed="false">
      <c r="A8" s="15"/>
      <c r="B8" s="16" t="s">
        <v>6</v>
      </c>
      <c r="C8" s="17" t="s">
        <v>7</v>
      </c>
      <c r="D8" s="17" t="s">
        <v>8</v>
      </c>
      <c r="E8" s="17" t="s">
        <v>9</v>
      </c>
      <c r="F8" s="17" t="s">
        <v>10</v>
      </c>
      <c r="G8" s="18" t="s">
        <v>11</v>
      </c>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row>
    <row r="10" customFormat="false" ht="15" hidden="false" customHeight="false" outlineLevel="0" collapsed="false">
      <c r="B10" s="1" t="s">
        <v>12</v>
      </c>
      <c r="C10" s="2" t="n">
        <f aca="false">+'Work Summary'!K51</f>
        <v>6212577.54</v>
      </c>
      <c r="D10" s="2" t="n">
        <f aca="false">+'Work Summary'!L51</f>
        <v>-3488310.58242161</v>
      </c>
      <c r="E10" s="2" t="n">
        <f aca="false">+'Exclusion Summary'!L49</f>
        <v>-437865.666624894</v>
      </c>
      <c r="F10" s="2" t="n">
        <f aca="false">+C10+D10+E10</f>
        <v>2286401.2909535</v>
      </c>
      <c r="G10" s="19" t="s">
        <v>13</v>
      </c>
    </row>
    <row r="11" customFormat="false" ht="15" hidden="false" customHeight="false" outlineLevel="0" collapsed="false">
      <c r="G11" s="1" t="s">
        <v>14</v>
      </c>
    </row>
    <row r="12" customFormat="false" ht="15" hidden="false" customHeight="false" outlineLevel="0" collapsed="false">
      <c r="C12" s="20"/>
      <c r="G12" s="21" t="n">
        <f aca="false">+F10-E10-D10=C10</f>
        <v>1</v>
      </c>
    </row>
    <row r="13" customFormat="false" ht="15" hidden="false" customHeight="false" outlineLevel="0" collapsed="false">
      <c r="C13" s="20"/>
      <c r="G13" s="21"/>
    </row>
    <row r="14" customFormat="false" ht="15" hidden="false" customHeight="false" outlineLevel="0" collapsed="false">
      <c r="B14" s="1" t="s">
        <v>15</v>
      </c>
      <c r="C14" s="20" t="s">
        <v>16</v>
      </c>
      <c r="D14" s="22"/>
      <c r="E14" s="22"/>
      <c r="F14" s="22" t="n">
        <v>0</v>
      </c>
      <c r="G14" s="19" t="s">
        <v>17</v>
      </c>
    </row>
    <row r="15" customFormat="false" ht="15" hidden="false" customHeight="false" outlineLevel="0" collapsed="false">
      <c r="B15" s="23"/>
      <c r="C15" s="24"/>
      <c r="D15" s="25"/>
      <c r="E15" s="25"/>
      <c r="F15" s="26"/>
      <c r="G15" s="27"/>
    </row>
    <row r="16" customFormat="false" ht="15.6" hidden="false" customHeight="false" outlineLevel="0" collapsed="false">
      <c r="B16" s="1" t="s">
        <v>18</v>
      </c>
      <c r="C16" s="28" t="n">
        <f aca="false">+C10</f>
        <v>6212577.54</v>
      </c>
      <c r="D16" s="29" t="n">
        <f aca="false">SUM(D10:D12)</f>
        <v>-3488310.58242161</v>
      </c>
      <c r="E16" s="29" t="n">
        <f aca="false">SUM(E10:E12)</f>
        <v>-437865.666624894</v>
      </c>
      <c r="F16" s="30" t="n">
        <f aca="false">+C16+D16+E16</f>
        <v>2286401.2909535</v>
      </c>
      <c r="G16" s="31"/>
    </row>
    <row r="17" customFormat="false" ht="15.6" hidden="false" customHeight="false" outlineLevel="0" collapsed="false">
      <c r="B17" s="1" t="s">
        <v>19</v>
      </c>
      <c r="F17" s="24" t="n">
        <v>-250000</v>
      </c>
      <c r="G17" s="32"/>
    </row>
    <row r="18" customFormat="false" ht="15.6" hidden="false" customHeight="false" outlineLevel="0" collapsed="false">
      <c r="B18" s="1" t="s">
        <v>20</v>
      </c>
      <c r="F18" s="33" t="n">
        <f aca="false">F16+F17</f>
        <v>2036401.2909535</v>
      </c>
      <c r="G18" s="34"/>
    </row>
    <row r="19" customFormat="false" ht="15.6" hidden="false" customHeight="false" outlineLevel="0" collapsed="false">
      <c r="B19" s="1" t="s">
        <v>21</v>
      </c>
      <c r="F19" s="35"/>
      <c r="G19" s="34"/>
    </row>
    <row r="20" customFormat="false" ht="15" hidden="false" customHeight="false" outlineLevel="0" collapsed="false">
      <c r="B20" s="1" t="s">
        <v>22</v>
      </c>
      <c r="C20" s="1"/>
      <c r="D20" s="1"/>
      <c r="E20" s="1"/>
      <c r="F20" s="36" t="n">
        <v>-2000000</v>
      </c>
    </row>
    <row r="21" customFormat="false" ht="15" hidden="false" customHeight="false" outlineLevel="0" collapsed="false">
      <c r="B21" s="1" t="s">
        <v>23</v>
      </c>
      <c r="C21" s="1"/>
      <c r="D21" s="1"/>
      <c r="E21" s="1"/>
      <c r="F21" s="2" t="n">
        <f aca="false">+F18+F20</f>
        <v>36401.2909534983</v>
      </c>
    </row>
  </sheetData>
  <printOptions headings="false" gridLines="false" gridLinesSet="true" horizontalCentered="false" verticalCentered="false"/>
  <pageMargins left="0.25" right="0.240277777777778" top="0.739583333333333" bottom="0.25" header="0.379861111111111" footer="0.511811023622047"/>
  <pageSetup paperSize="1" scale="100" fitToWidth="1" fitToHeight="1" pageOrder="downThenOver" orientation="landscape" blackAndWhite="false" draft="false" cellComments="none" horizontalDpi="300" verticalDpi="300" copies="1"/>
  <headerFooter differentFirst="false" differentOddEven="false">
    <oddHeader>&amp;L&amp;"Arial,Bold"&amp;16Doyle Power, LCC - Principal Insured&amp;RThru: &amp;D
Page &amp;P</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39"/>
  <sheetViews>
    <sheetView showFormulas="false" showGridLines="true" showRowColHeaders="true" showZeros="true" rightToLeft="false" tabSelected="false" showOutlineSymbols="true" defaultGridColor="true" view="pageBreakPreview" topLeftCell="A1" colorId="64" zoomScale="75" zoomScaleNormal="75" zoomScalePageLayoutView="75" workbookViewId="0">
      <selection pane="topLeft" activeCell="A1" activeCellId="0" sqref="A1"/>
    </sheetView>
  </sheetViews>
  <sheetFormatPr defaultColWidth="10.328125" defaultRowHeight="13.2" customHeight="true" zeroHeight="false" outlineLevelRow="0" outlineLevelCol="0"/>
  <cols>
    <col collapsed="false" customWidth="true" hidden="false" outlineLevel="0" max="1" min="1" style="302" width="8.87"/>
    <col collapsed="false" customWidth="true" hidden="false" outlineLevel="0" max="7" min="2" style="37" width="3.99"/>
    <col collapsed="false" customWidth="true" hidden="false" outlineLevel="0" max="14" min="8" style="38" width="3.99"/>
    <col collapsed="false" customWidth="true" hidden="false" outlineLevel="0" max="15" min="15" style="37" width="7.66"/>
    <col collapsed="false" customWidth="true" hidden="false" outlineLevel="0" max="16" min="16" style="38" width="3.99"/>
    <col collapsed="false" customWidth="true" hidden="false" outlineLevel="0" max="17" min="17" style="38" width="12.88"/>
    <col collapsed="false" customWidth="true" hidden="false" outlineLevel="0" max="25" min="18" style="38" width="3.99"/>
    <col collapsed="false" customWidth="false" hidden="false" outlineLevel="0" max="29" min="26" style="38" width="10.32"/>
    <col collapsed="false" customWidth="true" hidden="false" outlineLevel="0" max="30" min="30" style="38" width="4.43"/>
    <col collapsed="false" customWidth="false" hidden="false" outlineLevel="0" max="257" min="31" style="38" width="10.32"/>
  </cols>
  <sheetData>
    <row r="1" customFormat="false" ht="15.6" hidden="false" customHeight="false" outlineLevel="0" collapsed="false">
      <c r="D1" s="41" t="s">
        <v>99</v>
      </c>
      <c r="E1" s="41"/>
      <c r="F1" s="41"/>
      <c r="G1" s="41"/>
      <c r="H1" s="41"/>
      <c r="O1" s="42" t="s">
        <v>552</v>
      </c>
    </row>
    <row r="2" customFormat="false" ht="13.2" hidden="false" customHeight="false" outlineLevel="0" collapsed="false">
      <c r="D2" s="38" t="s">
        <v>25</v>
      </c>
      <c r="E2" s="38"/>
      <c r="F2" s="38"/>
      <c r="G2" s="38"/>
      <c r="O2" s="38" t="s">
        <v>553</v>
      </c>
    </row>
    <row r="3" customFormat="false" ht="4.95" hidden="false" customHeight="true" outlineLevel="0" collapsed="false">
      <c r="D3" s="38"/>
      <c r="E3" s="38"/>
      <c r="F3" s="38"/>
      <c r="G3" s="38"/>
      <c r="O3" s="38"/>
    </row>
    <row r="4" customFormat="false" ht="84.6" hidden="false" customHeight="true" outlineLevel="0" collapsed="false">
      <c r="A4" s="341" t="s">
        <v>554</v>
      </c>
      <c r="B4" s="342" t="s">
        <v>555</v>
      </c>
      <c r="C4" s="342" t="s">
        <v>556</v>
      </c>
      <c r="D4" s="342" t="s">
        <v>557</v>
      </c>
      <c r="E4" s="342" t="s">
        <v>558</v>
      </c>
      <c r="F4" s="342" t="s">
        <v>559</v>
      </c>
      <c r="G4" s="342" t="s">
        <v>560</v>
      </c>
      <c r="H4" s="342" t="s">
        <v>561</v>
      </c>
      <c r="I4" s="342" t="s">
        <v>562</v>
      </c>
      <c r="J4" s="342" t="s">
        <v>563</v>
      </c>
      <c r="K4" s="342" t="s">
        <v>564</v>
      </c>
      <c r="L4" s="342" t="s">
        <v>565</v>
      </c>
      <c r="M4" s="342" t="s">
        <v>566</v>
      </c>
      <c r="N4" s="64"/>
      <c r="O4" s="342" t="s">
        <v>567</v>
      </c>
      <c r="P4" s="64"/>
      <c r="Q4" s="64" t="s">
        <v>568</v>
      </c>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row>
    <row r="5" customFormat="false" ht="13.2" hidden="false" customHeight="false" outlineLevel="0" collapsed="false">
      <c r="A5" s="302" t="n">
        <v>36690</v>
      </c>
      <c r="B5" s="343" t="n">
        <v>4</v>
      </c>
      <c r="C5" s="344"/>
      <c r="D5" s="344"/>
      <c r="E5" s="344"/>
      <c r="F5" s="344"/>
      <c r="G5" s="344"/>
      <c r="H5" s="344"/>
      <c r="I5" s="344"/>
      <c r="J5" s="344"/>
      <c r="K5" s="344"/>
      <c r="L5" s="344"/>
      <c r="M5" s="344"/>
      <c r="N5" s="344"/>
      <c r="O5" s="344"/>
      <c r="P5" s="345" t="s">
        <v>456</v>
      </c>
      <c r="Q5" s="346"/>
      <c r="R5" s="344"/>
      <c r="S5" s="344"/>
    </row>
    <row r="6" customFormat="false" ht="13.2" hidden="false" customHeight="false" outlineLevel="0" collapsed="false">
      <c r="A6" s="302" t="n">
        <v>36691</v>
      </c>
      <c r="B6" s="343" t="n">
        <v>4</v>
      </c>
      <c r="C6" s="344"/>
      <c r="D6" s="344" t="n">
        <v>3</v>
      </c>
      <c r="E6" s="344"/>
      <c r="F6" s="344"/>
      <c r="G6" s="344"/>
      <c r="H6" s="344"/>
      <c r="I6" s="344"/>
      <c r="J6" s="344"/>
      <c r="K6" s="344"/>
      <c r="L6" s="344"/>
      <c r="M6" s="344"/>
      <c r="N6" s="344"/>
      <c r="O6" s="344"/>
      <c r="P6" s="344"/>
      <c r="Q6" s="344"/>
      <c r="R6" s="344"/>
      <c r="S6" s="344"/>
    </row>
    <row r="7" customFormat="false" ht="13.2" hidden="false" customHeight="false" outlineLevel="0" collapsed="false">
      <c r="A7" s="302" t="n">
        <v>36692</v>
      </c>
      <c r="B7" s="343" t="n">
        <v>4</v>
      </c>
      <c r="C7" s="344"/>
      <c r="D7" s="344" t="n">
        <v>3</v>
      </c>
      <c r="E7" s="344"/>
      <c r="F7" s="344"/>
      <c r="G7" s="344"/>
      <c r="H7" s="344"/>
      <c r="I7" s="344"/>
      <c r="J7" s="344"/>
      <c r="K7" s="344"/>
      <c r="L7" s="344"/>
      <c r="M7" s="344"/>
      <c r="N7" s="344"/>
      <c r="O7" s="344"/>
      <c r="P7" s="344"/>
      <c r="Q7" s="344"/>
      <c r="R7" s="344"/>
      <c r="S7" s="344"/>
    </row>
    <row r="8" customFormat="false" ht="13.2" hidden="false" customHeight="false" outlineLevel="0" collapsed="false">
      <c r="A8" s="302" t="n">
        <v>36693</v>
      </c>
      <c r="B8" s="343" t="n">
        <v>4</v>
      </c>
      <c r="C8" s="344"/>
      <c r="D8" s="344" t="n">
        <v>3</v>
      </c>
      <c r="E8" s="344"/>
      <c r="F8" s="344"/>
      <c r="G8" s="344"/>
      <c r="H8" s="344"/>
      <c r="I8" s="344"/>
      <c r="J8" s="344"/>
      <c r="K8" s="344"/>
      <c r="L8" s="344"/>
      <c r="M8" s="344"/>
      <c r="N8" s="344"/>
      <c r="O8" s="344"/>
      <c r="P8" s="344"/>
      <c r="Q8" s="344"/>
      <c r="R8" s="344"/>
      <c r="S8" s="344"/>
    </row>
    <row r="9" customFormat="false" ht="13.2" hidden="false" customHeight="false" outlineLevel="0" collapsed="false">
      <c r="A9" s="302" t="n">
        <v>36694</v>
      </c>
      <c r="B9" s="343" t="n">
        <v>4</v>
      </c>
      <c r="C9" s="344"/>
      <c r="D9" s="344" t="n">
        <v>3</v>
      </c>
      <c r="E9" s="344"/>
      <c r="F9" s="344"/>
      <c r="G9" s="344"/>
      <c r="H9" s="344"/>
      <c r="I9" s="344"/>
      <c r="J9" s="344"/>
      <c r="K9" s="344"/>
      <c r="L9" s="344"/>
      <c r="M9" s="344"/>
      <c r="N9" s="344"/>
      <c r="O9" s="344"/>
      <c r="P9" s="344"/>
      <c r="Q9" s="344"/>
      <c r="R9" s="344"/>
      <c r="S9" s="344"/>
    </row>
    <row r="10" customFormat="false" ht="13.2" hidden="false" customHeight="false" outlineLevel="0" collapsed="false">
      <c r="A10" s="302" t="n">
        <v>36695</v>
      </c>
      <c r="B10" s="344"/>
      <c r="C10" s="344"/>
      <c r="D10" s="344" t="n">
        <v>3</v>
      </c>
      <c r="E10" s="344"/>
      <c r="F10" s="344"/>
      <c r="G10" s="344"/>
      <c r="H10" s="344"/>
      <c r="I10" s="344"/>
      <c r="J10" s="344"/>
      <c r="K10" s="344"/>
      <c r="L10" s="344"/>
      <c r="M10" s="344"/>
      <c r="N10" s="344"/>
      <c r="O10" s="344"/>
      <c r="P10" s="344"/>
      <c r="Q10" s="344"/>
      <c r="R10" s="344"/>
      <c r="S10" s="344"/>
    </row>
    <row r="11" customFormat="false" ht="13.2" hidden="false" customHeight="false" outlineLevel="0" collapsed="false">
      <c r="A11" s="302" t="s">
        <v>569</v>
      </c>
      <c r="B11" s="346" t="n">
        <f aca="false">SUM(B5:B10)</f>
        <v>20</v>
      </c>
      <c r="C11" s="346" t="n">
        <f aca="false">SUM(C5:C10)</f>
        <v>0</v>
      </c>
      <c r="D11" s="346" t="n">
        <f aca="false">SUM(D5:D10)</f>
        <v>15</v>
      </c>
      <c r="E11" s="346" t="n">
        <f aca="false">SUM(E5:E10)</f>
        <v>0</v>
      </c>
      <c r="F11" s="346" t="n">
        <f aca="false">SUM(F5:F10)</f>
        <v>0</v>
      </c>
      <c r="G11" s="344"/>
      <c r="H11" s="344"/>
      <c r="I11" s="344"/>
      <c r="J11" s="344"/>
      <c r="K11" s="344"/>
      <c r="L11" s="344"/>
      <c r="M11" s="344"/>
      <c r="N11" s="344"/>
      <c r="O11" s="346" t="n">
        <f aca="false">SUM(B11:N11)</f>
        <v>35</v>
      </c>
      <c r="P11" s="346" t="n">
        <f aca="false">+O11</f>
        <v>35</v>
      </c>
      <c r="Q11" s="346"/>
      <c r="R11" s="344"/>
      <c r="S11" s="344"/>
    </row>
    <row r="12" customFormat="false" ht="13.2" hidden="false" customHeight="false" outlineLevel="0" collapsed="false">
      <c r="A12" s="302" t="n">
        <v>36696</v>
      </c>
      <c r="B12" s="344"/>
      <c r="C12" s="344"/>
      <c r="D12" s="346" t="n">
        <v>4</v>
      </c>
      <c r="E12" s="346" t="n">
        <v>10</v>
      </c>
      <c r="F12" s="344"/>
      <c r="G12" s="344"/>
      <c r="H12" s="344"/>
      <c r="I12" s="344"/>
      <c r="J12" s="344"/>
      <c r="K12" s="344"/>
      <c r="L12" s="344"/>
      <c r="M12" s="344"/>
      <c r="N12" s="344"/>
      <c r="O12" s="344"/>
      <c r="P12" s="344"/>
      <c r="Q12" s="344"/>
      <c r="R12" s="344"/>
      <c r="S12" s="344"/>
    </row>
    <row r="13" customFormat="false" ht="13.2" hidden="false" customHeight="false" outlineLevel="0" collapsed="false">
      <c r="A13" s="302" t="n">
        <v>36697</v>
      </c>
      <c r="B13" s="346" t="n">
        <v>4</v>
      </c>
      <c r="C13" s="346" t="n">
        <v>4</v>
      </c>
      <c r="D13" s="346" t="n">
        <v>3</v>
      </c>
      <c r="E13" s="346" t="n">
        <v>10</v>
      </c>
      <c r="F13" s="344"/>
      <c r="G13" s="344"/>
      <c r="H13" s="344"/>
      <c r="I13" s="344"/>
      <c r="J13" s="344"/>
      <c r="K13" s="344"/>
      <c r="L13" s="344"/>
      <c r="M13" s="344"/>
      <c r="N13" s="344"/>
      <c r="O13" s="344"/>
      <c r="P13" s="344"/>
      <c r="Q13" s="344"/>
      <c r="R13" s="344"/>
      <c r="S13" s="344"/>
    </row>
    <row r="14" customFormat="false" ht="13.2" hidden="false" customHeight="false" outlineLevel="0" collapsed="false">
      <c r="A14" s="302" t="n">
        <v>36698</v>
      </c>
      <c r="B14" s="346" t="n">
        <v>4</v>
      </c>
      <c r="C14" s="346" t="n">
        <v>4</v>
      </c>
      <c r="D14" s="346" t="n">
        <v>8</v>
      </c>
      <c r="E14" s="346" t="n">
        <v>10</v>
      </c>
      <c r="F14" s="344"/>
      <c r="G14" s="344"/>
      <c r="H14" s="344"/>
      <c r="I14" s="344"/>
      <c r="J14" s="344"/>
      <c r="K14" s="344"/>
      <c r="L14" s="344"/>
      <c r="M14" s="344"/>
      <c r="N14" s="344"/>
      <c r="O14" s="344"/>
      <c r="P14" s="344"/>
      <c r="Q14" s="344"/>
      <c r="R14" s="344"/>
      <c r="S14" s="344"/>
    </row>
    <row r="15" customFormat="false" ht="13.2" hidden="false" customHeight="false" outlineLevel="0" collapsed="false">
      <c r="A15" s="302" t="n">
        <v>36699</v>
      </c>
      <c r="B15" s="346" t="n">
        <v>4</v>
      </c>
      <c r="C15" s="346" t="n">
        <v>4</v>
      </c>
      <c r="D15" s="346" t="n">
        <v>8</v>
      </c>
      <c r="E15" s="346" t="n">
        <v>10</v>
      </c>
      <c r="F15" s="344"/>
      <c r="G15" s="344"/>
      <c r="H15" s="344"/>
      <c r="I15" s="344"/>
      <c r="J15" s="344"/>
      <c r="K15" s="344"/>
      <c r="L15" s="344"/>
      <c r="M15" s="344"/>
      <c r="N15" s="344"/>
      <c r="O15" s="344"/>
      <c r="P15" s="344"/>
      <c r="Q15" s="344"/>
      <c r="R15" s="344"/>
      <c r="S15" s="344"/>
    </row>
    <row r="16" customFormat="false" ht="13.2" hidden="false" customHeight="false" outlineLevel="0" collapsed="false">
      <c r="A16" s="302" t="n">
        <v>36700</v>
      </c>
      <c r="B16" s="346" t="n">
        <v>4</v>
      </c>
      <c r="C16" s="346" t="n">
        <v>4</v>
      </c>
      <c r="D16" s="346" t="n">
        <v>6</v>
      </c>
      <c r="E16" s="346" t="n">
        <v>10</v>
      </c>
      <c r="F16" s="344"/>
      <c r="G16" s="344"/>
      <c r="H16" s="344"/>
      <c r="I16" s="344"/>
      <c r="J16" s="344"/>
      <c r="K16" s="344"/>
      <c r="L16" s="344"/>
      <c r="M16" s="344"/>
      <c r="N16" s="344"/>
      <c r="O16" s="344"/>
      <c r="P16" s="347" t="n">
        <f aca="false">SUM(B12:E16)</f>
        <v>111</v>
      </c>
      <c r="Q16" s="347"/>
      <c r="R16" s="344"/>
      <c r="S16" s="344"/>
    </row>
    <row r="17" customFormat="false" ht="13.2" hidden="false" customHeight="false" outlineLevel="0" collapsed="false">
      <c r="A17" s="302" t="n">
        <v>36701</v>
      </c>
      <c r="B17" s="344" t="n">
        <v>4</v>
      </c>
      <c r="C17" s="344" t="n">
        <v>4</v>
      </c>
      <c r="D17" s="344" t="n">
        <v>4</v>
      </c>
      <c r="E17" s="344" t="n">
        <v>10</v>
      </c>
      <c r="F17" s="344"/>
      <c r="G17" s="344"/>
      <c r="H17" s="344"/>
      <c r="I17" s="344"/>
      <c r="J17" s="344"/>
      <c r="K17" s="344"/>
      <c r="L17" s="344"/>
      <c r="M17" s="344"/>
      <c r="N17" s="344"/>
      <c r="O17" s="344"/>
      <c r="P17" s="344"/>
      <c r="Q17" s="344"/>
      <c r="R17" s="344"/>
      <c r="S17" s="344"/>
    </row>
    <row r="18" customFormat="false" ht="13.2" hidden="false" customHeight="false" outlineLevel="0" collapsed="false">
      <c r="A18" s="302" t="n">
        <v>36702</v>
      </c>
      <c r="B18" s="344"/>
      <c r="C18" s="344"/>
      <c r="D18" s="344" t="n">
        <v>4</v>
      </c>
      <c r="E18" s="344"/>
      <c r="F18" s="344"/>
      <c r="G18" s="344"/>
      <c r="H18" s="344"/>
      <c r="I18" s="344"/>
      <c r="J18" s="344"/>
      <c r="K18" s="344"/>
      <c r="L18" s="344"/>
      <c r="M18" s="344"/>
      <c r="N18" s="344"/>
      <c r="O18" s="344"/>
      <c r="P18" s="344"/>
      <c r="Q18" s="344"/>
      <c r="R18" s="344"/>
      <c r="S18" s="344"/>
    </row>
    <row r="19" customFormat="false" ht="13.2" hidden="false" customHeight="false" outlineLevel="0" collapsed="false">
      <c r="A19" s="302" t="s">
        <v>569</v>
      </c>
      <c r="B19" s="344" t="n">
        <f aca="false">SUM(B13:B18)</f>
        <v>20</v>
      </c>
      <c r="C19" s="344" t="n">
        <f aca="false">SUM(C13:C18)</f>
        <v>20</v>
      </c>
      <c r="D19" s="344" t="n">
        <f aca="false">SUM(D13:D18)</f>
        <v>33</v>
      </c>
      <c r="E19" s="344" t="n">
        <f aca="false">SUM(E13:E18)</f>
        <v>50</v>
      </c>
      <c r="F19" s="344" t="n">
        <f aca="false">SUM(F13:F18)</f>
        <v>0</v>
      </c>
      <c r="G19" s="344"/>
      <c r="H19" s="344"/>
      <c r="I19" s="344"/>
      <c r="J19" s="344"/>
      <c r="K19" s="344"/>
      <c r="L19" s="344"/>
      <c r="M19" s="344"/>
      <c r="N19" s="344"/>
      <c r="O19" s="344" t="n">
        <f aca="false">SUM(B19:N19)</f>
        <v>123</v>
      </c>
      <c r="P19" s="344"/>
      <c r="Q19" s="344"/>
      <c r="R19" s="344"/>
      <c r="S19" s="344"/>
    </row>
    <row r="20" customFormat="false" ht="13.2" hidden="false" customHeight="false" outlineLevel="0" collapsed="false">
      <c r="A20" s="302" t="n">
        <v>36703</v>
      </c>
      <c r="B20" s="344"/>
      <c r="C20" s="344" t="n">
        <v>10</v>
      </c>
      <c r="D20" s="344"/>
      <c r="E20" s="344" t="n">
        <v>10</v>
      </c>
      <c r="F20" s="344" t="n">
        <v>10</v>
      </c>
      <c r="G20" s="344"/>
      <c r="H20" s="344"/>
      <c r="I20" s="344"/>
      <c r="J20" s="344"/>
      <c r="K20" s="344"/>
      <c r="L20" s="344"/>
      <c r="M20" s="344"/>
      <c r="N20" s="344"/>
      <c r="O20" s="344"/>
      <c r="P20" s="344"/>
      <c r="Q20" s="344"/>
      <c r="R20" s="344"/>
      <c r="S20" s="344"/>
    </row>
    <row r="21" customFormat="false" ht="13.2" hidden="false" customHeight="false" outlineLevel="0" collapsed="false">
      <c r="A21" s="302" t="n">
        <v>36704</v>
      </c>
      <c r="B21" s="344"/>
      <c r="C21" s="344" t="n">
        <v>10</v>
      </c>
      <c r="D21" s="344" t="n">
        <v>6</v>
      </c>
      <c r="E21" s="344" t="n">
        <v>10</v>
      </c>
      <c r="F21" s="344" t="n">
        <v>10</v>
      </c>
      <c r="G21" s="344"/>
      <c r="H21" s="344"/>
      <c r="I21" s="344"/>
      <c r="J21" s="344"/>
      <c r="K21" s="344"/>
      <c r="L21" s="344"/>
      <c r="M21" s="344"/>
      <c r="N21" s="344"/>
      <c r="O21" s="344"/>
      <c r="P21" s="344"/>
      <c r="Q21" s="344"/>
      <c r="R21" s="344"/>
      <c r="S21" s="344"/>
    </row>
    <row r="22" customFormat="false" ht="13.2" hidden="false" customHeight="false" outlineLevel="0" collapsed="false">
      <c r="A22" s="302" t="n">
        <v>36705</v>
      </c>
      <c r="B22" s="344" t="n">
        <v>10</v>
      </c>
      <c r="C22" s="344"/>
      <c r="D22" s="344" t="n">
        <v>6</v>
      </c>
      <c r="E22" s="344" t="n">
        <v>10</v>
      </c>
      <c r="F22" s="344" t="n">
        <v>10</v>
      </c>
      <c r="G22" s="344"/>
      <c r="H22" s="344"/>
      <c r="I22" s="344"/>
      <c r="J22" s="344"/>
      <c r="K22" s="344"/>
      <c r="L22" s="344"/>
      <c r="M22" s="344"/>
      <c r="N22" s="344"/>
      <c r="O22" s="344"/>
      <c r="P22" s="344"/>
      <c r="Q22" s="344"/>
      <c r="R22" s="344"/>
      <c r="S22" s="344"/>
    </row>
    <row r="23" customFormat="false" ht="13.2" hidden="false" customHeight="false" outlineLevel="0" collapsed="false">
      <c r="A23" s="302" t="n">
        <v>36706</v>
      </c>
      <c r="B23" s="344" t="n">
        <v>10</v>
      </c>
      <c r="C23" s="344"/>
      <c r="D23" s="344" t="n">
        <v>6</v>
      </c>
      <c r="E23" s="344" t="n">
        <v>10</v>
      </c>
      <c r="F23" s="344" t="n">
        <v>10</v>
      </c>
      <c r="G23" s="344"/>
      <c r="H23" s="344"/>
      <c r="I23" s="344"/>
      <c r="J23" s="344"/>
      <c r="K23" s="344"/>
      <c r="L23" s="344"/>
      <c r="M23" s="344"/>
      <c r="N23" s="344"/>
      <c r="O23" s="344"/>
      <c r="P23" s="344"/>
      <c r="Q23" s="344"/>
      <c r="R23" s="344"/>
      <c r="S23" s="344"/>
    </row>
    <row r="24" customFormat="false" ht="13.2" hidden="false" customHeight="false" outlineLevel="0" collapsed="false">
      <c r="A24" s="302" t="n">
        <v>36707</v>
      </c>
      <c r="B24" s="344"/>
      <c r="C24" s="344"/>
      <c r="D24" s="344" t="n">
        <v>6</v>
      </c>
      <c r="E24" s="344" t="n">
        <v>10</v>
      </c>
      <c r="F24" s="344" t="n">
        <v>10</v>
      </c>
      <c r="G24" s="344"/>
      <c r="H24" s="344"/>
      <c r="I24" s="344"/>
      <c r="J24" s="344"/>
      <c r="K24" s="344"/>
      <c r="L24" s="344"/>
      <c r="M24" s="344"/>
      <c r="N24" s="344"/>
      <c r="O24" s="344"/>
      <c r="P24" s="344"/>
      <c r="Q24" s="344"/>
      <c r="R24" s="344"/>
      <c r="S24" s="344"/>
    </row>
    <row r="25" customFormat="false" ht="13.2" hidden="false" customHeight="false" outlineLevel="0" collapsed="false">
      <c r="A25" s="302" t="n">
        <v>36708</v>
      </c>
      <c r="B25" s="344"/>
      <c r="C25" s="344"/>
      <c r="D25" s="344" t="n">
        <v>6</v>
      </c>
      <c r="E25" s="344" t="n">
        <v>10</v>
      </c>
      <c r="F25" s="344" t="n">
        <v>10</v>
      </c>
      <c r="G25" s="344"/>
      <c r="H25" s="344"/>
      <c r="I25" s="344"/>
      <c r="J25" s="344"/>
      <c r="K25" s="344"/>
      <c r="L25" s="344"/>
      <c r="M25" s="344"/>
      <c r="N25" s="344"/>
      <c r="O25" s="344"/>
      <c r="P25" s="344"/>
      <c r="Q25" s="344"/>
      <c r="R25" s="344"/>
      <c r="S25" s="344"/>
    </row>
    <row r="26" customFormat="false" ht="13.2" hidden="false" customHeight="false" outlineLevel="0" collapsed="false">
      <c r="A26" s="302" t="n">
        <v>36709</v>
      </c>
      <c r="B26" s="344"/>
      <c r="C26" s="344"/>
      <c r="D26" s="344"/>
      <c r="E26" s="344" t="n">
        <v>10</v>
      </c>
      <c r="F26" s="344"/>
      <c r="G26" s="344"/>
      <c r="H26" s="344"/>
      <c r="I26" s="344"/>
      <c r="J26" s="344"/>
      <c r="K26" s="344"/>
      <c r="L26" s="344"/>
      <c r="M26" s="344"/>
      <c r="N26" s="344"/>
      <c r="O26" s="344"/>
      <c r="P26" s="344"/>
      <c r="Q26" s="344"/>
      <c r="R26" s="344"/>
      <c r="S26" s="344"/>
    </row>
    <row r="27" customFormat="false" ht="13.2" hidden="false" customHeight="false" outlineLevel="0" collapsed="false">
      <c r="A27" s="302" t="s">
        <v>569</v>
      </c>
      <c r="B27" s="344" t="n">
        <f aca="false">SUM(B21:B26)</f>
        <v>20</v>
      </c>
      <c r="C27" s="344" t="n">
        <f aca="false">SUM(C20:C26)</f>
        <v>20</v>
      </c>
      <c r="D27" s="344" t="n">
        <f aca="false">SUM(D21:D26)</f>
        <v>30</v>
      </c>
      <c r="E27" s="344" t="n">
        <f aca="false">SUM(E21:E26)</f>
        <v>60</v>
      </c>
      <c r="F27" s="344" t="n">
        <f aca="false">SUM(F21:F26)</f>
        <v>50</v>
      </c>
      <c r="G27" s="344"/>
      <c r="H27" s="344"/>
      <c r="I27" s="344"/>
      <c r="J27" s="344"/>
      <c r="K27" s="344"/>
      <c r="L27" s="344"/>
      <c r="M27" s="344"/>
      <c r="N27" s="344"/>
      <c r="O27" s="344" t="n">
        <f aca="false">SUM(B27:N27)</f>
        <v>180</v>
      </c>
      <c r="P27" s="344"/>
      <c r="Q27" s="344"/>
      <c r="R27" s="344"/>
      <c r="S27" s="344"/>
    </row>
    <row r="28" customFormat="false" ht="13.2" hidden="false" customHeight="false" outlineLevel="0" collapsed="false">
      <c r="A28" s="302" t="n">
        <v>36710</v>
      </c>
      <c r="B28" s="344"/>
      <c r="C28" s="344" t="n">
        <v>10</v>
      </c>
      <c r="D28" s="38"/>
      <c r="E28" s="344" t="n">
        <v>10</v>
      </c>
      <c r="F28" s="344"/>
      <c r="G28" s="344"/>
      <c r="H28" s="344"/>
      <c r="I28" s="344"/>
      <c r="J28" s="344"/>
      <c r="K28" s="344"/>
      <c r="L28" s="344"/>
      <c r="M28" s="344"/>
      <c r="N28" s="344"/>
      <c r="O28" s="344"/>
      <c r="P28" s="344"/>
      <c r="Q28" s="344"/>
      <c r="R28" s="344"/>
      <c r="S28" s="344"/>
    </row>
    <row r="29" customFormat="false" ht="13.2" hidden="false" customHeight="false" outlineLevel="0" collapsed="false">
      <c r="A29" s="302" t="n">
        <v>36711</v>
      </c>
      <c r="B29" s="344"/>
      <c r="C29" s="344"/>
      <c r="D29" s="38"/>
      <c r="E29" s="344" t="n">
        <v>10</v>
      </c>
      <c r="F29" s="344" t="n">
        <v>10</v>
      </c>
      <c r="G29" s="344"/>
      <c r="H29" s="344"/>
      <c r="I29" s="344"/>
      <c r="J29" s="344"/>
      <c r="K29" s="344"/>
      <c r="L29" s="344"/>
      <c r="M29" s="344"/>
      <c r="N29" s="344"/>
      <c r="O29" s="344"/>
      <c r="P29" s="344"/>
      <c r="Q29" s="344"/>
      <c r="R29" s="344"/>
      <c r="S29" s="344"/>
    </row>
    <row r="30" customFormat="false" ht="13.2" hidden="false" customHeight="false" outlineLevel="0" collapsed="false">
      <c r="A30" s="302" t="n">
        <v>36712</v>
      </c>
      <c r="B30" s="344"/>
      <c r="C30" s="344" t="n">
        <v>10</v>
      </c>
      <c r="D30" s="38"/>
      <c r="E30" s="344" t="n">
        <v>10</v>
      </c>
      <c r="F30" s="344" t="n">
        <v>10</v>
      </c>
      <c r="G30" s="344"/>
      <c r="H30" s="344"/>
      <c r="I30" s="344"/>
      <c r="J30" s="344"/>
      <c r="K30" s="344"/>
      <c r="L30" s="344"/>
      <c r="M30" s="344"/>
      <c r="N30" s="344"/>
      <c r="O30" s="344"/>
      <c r="P30" s="344"/>
      <c r="Q30" s="344"/>
      <c r="R30" s="344"/>
      <c r="S30" s="344"/>
    </row>
    <row r="31" customFormat="false" ht="13.2" hidden="false" customHeight="false" outlineLevel="0" collapsed="false">
      <c r="A31" s="302" t="n">
        <v>36713</v>
      </c>
      <c r="B31" s="344" t="n">
        <v>10</v>
      </c>
      <c r="C31" s="344"/>
      <c r="D31" s="38"/>
      <c r="E31" s="344" t="n">
        <v>10</v>
      </c>
      <c r="F31" s="344" t="n">
        <v>10</v>
      </c>
      <c r="G31" s="344"/>
      <c r="H31" s="344"/>
      <c r="I31" s="344"/>
      <c r="J31" s="344"/>
      <c r="K31" s="344"/>
      <c r="L31" s="344"/>
      <c r="M31" s="344"/>
      <c r="N31" s="344"/>
      <c r="O31" s="344"/>
      <c r="P31" s="344"/>
      <c r="Q31" s="344"/>
      <c r="R31" s="344"/>
      <c r="S31" s="344"/>
    </row>
    <row r="32" customFormat="false" ht="13.2" hidden="false" customHeight="false" outlineLevel="0" collapsed="false">
      <c r="A32" s="302" t="n">
        <v>36714</v>
      </c>
      <c r="B32" s="344"/>
      <c r="C32" s="344"/>
      <c r="D32" s="38"/>
      <c r="E32" s="344" t="n">
        <v>10</v>
      </c>
      <c r="F32" s="344" t="n">
        <v>10</v>
      </c>
      <c r="G32" s="344"/>
      <c r="H32" s="344"/>
      <c r="I32" s="344"/>
      <c r="J32" s="344"/>
      <c r="K32" s="344"/>
      <c r="L32" s="344"/>
      <c r="M32" s="344"/>
      <c r="N32" s="344"/>
      <c r="O32" s="344"/>
      <c r="P32" s="344"/>
      <c r="Q32" s="344"/>
      <c r="R32" s="344"/>
      <c r="S32" s="344"/>
    </row>
    <row r="33" customFormat="false" ht="13.2" hidden="false" customHeight="false" outlineLevel="0" collapsed="false">
      <c r="A33" s="302" t="n">
        <v>36715</v>
      </c>
      <c r="B33" s="344"/>
      <c r="C33" s="344"/>
      <c r="D33" s="38"/>
      <c r="E33" s="344"/>
      <c r="F33" s="344" t="n">
        <v>10</v>
      </c>
      <c r="G33" s="344"/>
      <c r="H33" s="344"/>
      <c r="I33" s="344"/>
      <c r="J33" s="344"/>
      <c r="K33" s="344"/>
      <c r="L33" s="344"/>
      <c r="M33" s="344"/>
      <c r="N33" s="344"/>
      <c r="O33" s="344"/>
      <c r="P33" s="344"/>
      <c r="Q33" s="344"/>
      <c r="R33" s="344"/>
      <c r="S33" s="344"/>
    </row>
    <row r="34" customFormat="false" ht="13.2" hidden="false" customHeight="false" outlineLevel="0" collapsed="false">
      <c r="A34" s="302" t="n">
        <v>36716</v>
      </c>
      <c r="B34" s="344"/>
      <c r="C34" s="344"/>
      <c r="D34" s="344"/>
      <c r="E34" s="344"/>
      <c r="F34" s="344" t="n">
        <v>10</v>
      </c>
      <c r="G34" s="344"/>
      <c r="H34" s="344"/>
      <c r="I34" s="344"/>
      <c r="J34" s="344"/>
      <c r="K34" s="344"/>
      <c r="L34" s="344"/>
      <c r="M34" s="344"/>
      <c r="N34" s="344"/>
      <c r="O34" s="344"/>
      <c r="P34" s="344"/>
      <c r="Q34" s="344"/>
      <c r="R34" s="344"/>
      <c r="S34" s="344"/>
    </row>
    <row r="35" customFormat="false" ht="13.2" hidden="false" customHeight="false" outlineLevel="0" collapsed="false">
      <c r="A35" s="302" t="s">
        <v>569</v>
      </c>
      <c r="B35" s="344" t="n">
        <f aca="false">SUM(B28:B34)</f>
        <v>10</v>
      </c>
      <c r="C35" s="344" t="n">
        <f aca="false">SUM(C28:C34)</f>
        <v>20</v>
      </c>
      <c r="D35" s="344" t="n">
        <f aca="false">SUM(D28:D34)</f>
        <v>0</v>
      </c>
      <c r="E35" s="344" t="n">
        <f aca="false">SUM(E28:E34)</f>
        <v>50</v>
      </c>
      <c r="F35" s="344" t="n">
        <f aca="false">SUM(F28:F34)</f>
        <v>60</v>
      </c>
      <c r="G35" s="344" t="n">
        <f aca="false">SUM(G28:G34)</f>
        <v>0</v>
      </c>
      <c r="H35" s="344" t="n">
        <f aca="false">SUM(H28:H34)</f>
        <v>0</v>
      </c>
      <c r="I35" s="344" t="n">
        <f aca="false">SUM(I28:I34)</f>
        <v>0</v>
      </c>
      <c r="J35" s="344" t="n">
        <f aca="false">SUM(J28:J34)</f>
        <v>0</v>
      </c>
      <c r="K35" s="344" t="n">
        <f aca="false">SUM(K28:K34)</f>
        <v>0</v>
      </c>
      <c r="L35" s="344" t="n">
        <f aca="false">SUM(L28:L34)</f>
        <v>0</v>
      </c>
      <c r="M35" s="344" t="n">
        <f aca="false">SUM(M28:M34)</f>
        <v>0</v>
      </c>
      <c r="N35" s="344"/>
      <c r="O35" s="344" t="n">
        <f aca="false">SUM(B35:N35)</f>
        <v>140</v>
      </c>
      <c r="P35" s="344"/>
      <c r="Q35" s="344"/>
      <c r="R35" s="344"/>
      <c r="S35" s="344"/>
    </row>
    <row r="36" customFormat="false" ht="13.2" hidden="false" customHeight="false" outlineLevel="0" collapsed="false">
      <c r="A36" s="302" t="n">
        <v>36717</v>
      </c>
      <c r="B36" s="344" t="n">
        <v>10</v>
      </c>
      <c r="C36" s="344" t="n">
        <v>4</v>
      </c>
      <c r="D36" s="344"/>
      <c r="E36" s="344" t="n">
        <v>10</v>
      </c>
      <c r="F36" s="344" t="n">
        <v>10</v>
      </c>
      <c r="G36" s="344" t="n">
        <v>4</v>
      </c>
      <c r="H36" s="344"/>
      <c r="I36" s="344" t="n">
        <v>11</v>
      </c>
      <c r="J36" s="344" t="n">
        <v>4</v>
      </c>
      <c r="K36" s="344"/>
      <c r="L36" s="344" t="n">
        <v>10</v>
      </c>
      <c r="M36" s="344"/>
      <c r="N36" s="344"/>
      <c r="O36" s="344"/>
      <c r="P36" s="344"/>
      <c r="Q36" s="344"/>
      <c r="R36" s="344"/>
      <c r="S36" s="344"/>
    </row>
    <row r="37" customFormat="false" ht="13.2" hidden="false" customHeight="false" outlineLevel="0" collapsed="false">
      <c r="A37" s="302" t="n">
        <v>36718</v>
      </c>
      <c r="B37" s="344" t="n">
        <v>10</v>
      </c>
      <c r="C37" s="344" t="n">
        <v>4</v>
      </c>
      <c r="D37" s="344" t="n">
        <v>10</v>
      </c>
      <c r="E37" s="344" t="n">
        <v>10</v>
      </c>
      <c r="F37" s="344" t="n">
        <v>10</v>
      </c>
      <c r="G37" s="344" t="n">
        <v>4</v>
      </c>
      <c r="H37" s="344"/>
      <c r="I37" s="344" t="n">
        <v>11</v>
      </c>
      <c r="J37" s="344" t="n">
        <v>4</v>
      </c>
      <c r="K37" s="344"/>
      <c r="L37" s="344" t="n">
        <v>10</v>
      </c>
      <c r="M37" s="344"/>
      <c r="N37" s="344"/>
      <c r="O37" s="344"/>
      <c r="P37" s="344"/>
      <c r="Q37" s="344"/>
      <c r="R37" s="344"/>
      <c r="S37" s="344"/>
    </row>
    <row r="38" customFormat="false" ht="13.2" hidden="false" customHeight="false" outlineLevel="0" collapsed="false">
      <c r="A38" s="302" t="n">
        <v>36719</v>
      </c>
      <c r="B38" s="344"/>
      <c r="C38" s="344" t="n">
        <v>4</v>
      </c>
      <c r="D38" s="344" t="n">
        <v>10</v>
      </c>
      <c r="E38" s="344" t="n">
        <v>10</v>
      </c>
      <c r="F38" s="344" t="n">
        <v>10</v>
      </c>
      <c r="G38" s="344" t="n">
        <v>4</v>
      </c>
      <c r="H38" s="344"/>
      <c r="I38" s="344" t="n">
        <v>13.5</v>
      </c>
      <c r="J38" s="344" t="n">
        <v>4</v>
      </c>
      <c r="K38" s="344"/>
      <c r="L38" s="344" t="n">
        <v>10</v>
      </c>
      <c r="M38" s="344"/>
      <c r="N38" s="344"/>
      <c r="O38" s="344"/>
      <c r="P38" s="344"/>
      <c r="Q38" s="344"/>
      <c r="R38" s="344"/>
      <c r="S38" s="344"/>
    </row>
    <row r="39" customFormat="false" ht="13.2" hidden="false" customHeight="false" outlineLevel="0" collapsed="false">
      <c r="A39" s="302" t="n">
        <v>36720</v>
      </c>
      <c r="B39" s="346" t="n">
        <v>10</v>
      </c>
      <c r="C39" s="346" t="n">
        <v>4</v>
      </c>
      <c r="D39" s="346" t="n">
        <v>10</v>
      </c>
      <c r="E39" s="346" t="n">
        <v>10</v>
      </c>
      <c r="F39" s="346" t="n">
        <v>10</v>
      </c>
      <c r="G39" s="346" t="n">
        <v>4</v>
      </c>
      <c r="H39" s="346" t="n">
        <v>10</v>
      </c>
      <c r="I39" s="346" t="n">
        <v>11</v>
      </c>
      <c r="J39" s="346" t="n">
        <v>4</v>
      </c>
      <c r="K39" s="344"/>
      <c r="L39" s="344"/>
      <c r="M39" s="344"/>
      <c r="N39" s="344"/>
      <c r="O39" s="344"/>
      <c r="P39" s="344"/>
      <c r="Q39" s="344"/>
      <c r="R39" s="344"/>
      <c r="S39" s="344"/>
    </row>
    <row r="40" customFormat="false" ht="13.2" hidden="false" customHeight="false" outlineLevel="0" collapsed="false">
      <c r="A40" s="302" t="n">
        <v>36721</v>
      </c>
      <c r="B40" s="346"/>
      <c r="C40" s="346" t="n">
        <v>4</v>
      </c>
      <c r="D40" s="346"/>
      <c r="E40" s="346" t="n">
        <v>10</v>
      </c>
      <c r="F40" s="346" t="n">
        <v>10</v>
      </c>
      <c r="G40" s="346"/>
      <c r="H40" s="346" t="n">
        <v>10</v>
      </c>
      <c r="I40" s="346" t="n">
        <v>11.5</v>
      </c>
      <c r="J40" s="346" t="n">
        <v>4</v>
      </c>
      <c r="K40" s="344"/>
      <c r="L40" s="344"/>
      <c r="M40" s="344"/>
      <c r="N40" s="344"/>
      <c r="O40" s="344"/>
      <c r="P40" s="344"/>
      <c r="Q40" s="344"/>
      <c r="R40" s="344"/>
      <c r="S40" s="344"/>
    </row>
    <row r="41" customFormat="false" ht="13.2" hidden="false" customHeight="false" outlineLevel="0" collapsed="false">
      <c r="A41" s="302" t="n">
        <v>36722</v>
      </c>
      <c r="B41" s="346"/>
      <c r="C41" s="346" t="n">
        <v>4</v>
      </c>
      <c r="D41" s="346"/>
      <c r="E41" s="346" t="n">
        <v>10</v>
      </c>
      <c r="F41" s="346"/>
      <c r="G41" s="346"/>
      <c r="H41" s="346"/>
      <c r="I41" s="346" t="n">
        <v>11</v>
      </c>
      <c r="J41" s="346" t="n">
        <v>4</v>
      </c>
      <c r="K41" s="344"/>
      <c r="L41" s="344"/>
      <c r="M41" s="344"/>
      <c r="N41" s="344"/>
      <c r="O41" s="344"/>
      <c r="P41" s="344"/>
      <c r="Q41" s="344"/>
      <c r="R41" s="344"/>
      <c r="S41" s="344"/>
    </row>
    <row r="42" customFormat="false" ht="13.2" hidden="false" customHeight="false" outlineLevel="0" collapsed="false">
      <c r="A42" s="302" t="n">
        <v>36723</v>
      </c>
      <c r="B42" s="346"/>
      <c r="C42" s="346"/>
      <c r="D42" s="346"/>
      <c r="E42" s="346"/>
      <c r="F42" s="346"/>
      <c r="G42" s="346"/>
      <c r="H42" s="346"/>
      <c r="I42" s="346" t="n">
        <v>8</v>
      </c>
      <c r="J42" s="346" t="n">
        <v>4</v>
      </c>
      <c r="K42" s="344"/>
      <c r="L42" s="344"/>
      <c r="M42" s="344"/>
      <c r="N42" s="344"/>
      <c r="O42" s="344"/>
      <c r="P42" s="347" t="n">
        <f aca="false">SUM(B39:J42)</f>
        <v>163.5</v>
      </c>
      <c r="Q42" s="347"/>
      <c r="R42" s="344"/>
      <c r="S42" s="344"/>
    </row>
    <row r="43" customFormat="false" ht="13.2" hidden="false" customHeight="false" outlineLevel="0" collapsed="false">
      <c r="A43" s="302" t="s">
        <v>569</v>
      </c>
      <c r="B43" s="344" t="n">
        <f aca="false">SUM(B36:B42)</f>
        <v>30</v>
      </c>
      <c r="C43" s="344" t="n">
        <f aca="false">SUM(C36:C42)</f>
        <v>24</v>
      </c>
      <c r="D43" s="344" t="n">
        <f aca="false">SUM(D36:D42)</f>
        <v>30</v>
      </c>
      <c r="E43" s="344" t="n">
        <f aca="false">SUM(E36:E42)</f>
        <v>60</v>
      </c>
      <c r="F43" s="344" t="n">
        <f aca="false">SUM(F36:F42)</f>
        <v>50</v>
      </c>
      <c r="G43" s="344" t="n">
        <f aca="false">SUM(G36:G42)</f>
        <v>16</v>
      </c>
      <c r="H43" s="344" t="n">
        <f aca="false">SUM(H36:H42)</f>
        <v>20</v>
      </c>
      <c r="I43" s="344" t="n">
        <f aca="false">SUM(I36:I42)</f>
        <v>77</v>
      </c>
      <c r="J43" s="344" t="n">
        <f aca="false">SUM(J36:J42)</f>
        <v>28</v>
      </c>
      <c r="K43" s="344" t="n">
        <f aca="false">SUM(K36:K42)</f>
        <v>0</v>
      </c>
      <c r="L43" s="344" t="n">
        <f aca="false">SUM(L36:L42)</f>
        <v>30</v>
      </c>
      <c r="M43" s="344" t="n">
        <f aca="false">SUM(M36:M42)</f>
        <v>0</v>
      </c>
      <c r="N43" s="344"/>
      <c r="O43" s="344" t="n">
        <f aca="false">SUM(B43:N43)</f>
        <v>365</v>
      </c>
      <c r="P43" s="344"/>
      <c r="Q43" s="344"/>
      <c r="R43" s="344"/>
      <c r="S43" s="344"/>
    </row>
    <row r="44" customFormat="false" ht="13.2" hidden="false" customHeight="false" outlineLevel="0" collapsed="false">
      <c r="A44" s="302" t="n">
        <v>36724</v>
      </c>
      <c r="B44" s="346" t="n">
        <v>10</v>
      </c>
      <c r="C44" s="346" t="n">
        <v>4</v>
      </c>
      <c r="D44" s="346"/>
      <c r="E44" s="346" t="n">
        <v>10</v>
      </c>
      <c r="F44" s="346" t="n">
        <v>4</v>
      </c>
      <c r="G44" s="346" t="n">
        <v>4</v>
      </c>
      <c r="H44" s="346"/>
      <c r="I44" s="346"/>
      <c r="J44" s="346" t="n">
        <v>4</v>
      </c>
      <c r="K44" s="346" t="n">
        <v>4</v>
      </c>
      <c r="L44" s="346"/>
      <c r="M44" s="344"/>
      <c r="N44" s="344"/>
      <c r="O44" s="344"/>
      <c r="P44" s="344"/>
      <c r="Q44" s="344"/>
      <c r="R44" s="344"/>
      <c r="S44" s="344"/>
    </row>
    <row r="45" customFormat="false" ht="13.2" hidden="false" customHeight="false" outlineLevel="0" collapsed="false">
      <c r="A45" s="302" t="n">
        <v>36725</v>
      </c>
      <c r="B45" s="346" t="n">
        <v>10</v>
      </c>
      <c r="C45" s="346" t="n">
        <v>4</v>
      </c>
      <c r="D45" s="346" t="n">
        <v>10</v>
      </c>
      <c r="E45" s="346" t="n">
        <v>10</v>
      </c>
      <c r="F45" s="346" t="n">
        <v>4</v>
      </c>
      <c r="G45" s="346" t="n">
        <v>4</v>
      </c>
      <c r="H45" s="346"/>
      <c r="I45" s="346"/>
      <c r="J45" s="346" t="n">
        <v>4</v>
      </c>
      <c r="K45" s="346" t="n">
        <v>4</v>
      </c>
      <c r="L45" s="346"/>
      <c r="M45" s="344"/>
      <c r="N45" s="344"/>
      <c r="O45" s="344"/>
      <c r="P45" s="344"/>
      <c r="Q45" s="344"/>
      <c r="R45" s="344"/>
      <c r="S45" s="344"/>
    </row>
    <row r="46" customFormat="false" ht="13.2" hidden="false" customHeight="false" outlineLevel="0" collapsed="false">
      <c r="A46" s="302" t="n">
        <v>36726</v>
      </c>
      <c r="B46" s="346"/>
      <c r="C46" s="346" t="n">
        <v>4</v>
      </c>
      <c r="D46" s="346" t="n">
        <v>10</v>
      </c>
      <c r="E46" s="346" t="n">
        <v>10</v>
      </c>
      <c r="F46" s="346" t="n">
        <v>4</v>
      </c>
      <c r="G46" s="346" t="n">
        <v>4</v>
      </c>
      <c r="H46" s="346"/>
      <c r="I46" s="346"/>
      <c r="J46" s="346" t="n">
        <v>4</v>
      </c>
      <c r="K46" s="346" t="n">
        <v>4</v>
      </c>
      <c r="L46" s="346"/>
      <c r="M46" s="344"/>
      <c r="N46" s="344"/>
      <c r="O46" s="344"/>
      <c r="P46" s="344"/>
      <c r="Q46" s="344"/>
      <c r="R46" s="344"/>
      <c r="S46" s="344"/>
    </row>
    <row r="47" customFormat="false" ht="13.2" hidden="false" customHeight="false" outlineLevel="0" collapsed="false">
      <c r="A47" s="302" t="n">
        <v>36727</v>
      </c>
      <c r="B47" s="346" t="n">
        <v>10</v>
      </c>
      <c r="C47" s="346" t="n">
        <v>4</v>
      </c>
      <c r="D47" s="346" t="n">
        <v>10</v>
      </c>
      <c r="E47" s="346" t="n">
        <v>10</v>
      </c>
      <c r="F47" s="346" t="n">
        <v>4</v>
      </c>
      <c r="G47" s="346" t="n">
        <v>4</v>
      </c>
      <c r="H47" s="346" t="n">
        <v>10</v>
      </c>
      <c r="I47" s="346"/>
      <c r="J47" s="346" t="n">
        <v>4</v>
      </c>
      <c r="K47" s="346" t="n">
        <v>4</v>
      </c>
      <c r="L47" s="346" t="n">
        <v>10</v>
      </c>
      <c r="M47" s="344"/>
      <c r="N47" s="344"/>
      <c r="O47" s="344"/>
      <c r="P47" s="344"/>
      <c r="Q47" s="344"/>
      <c r="R47" s="344"/>
      <c r="S47" s="344"/>
    </row>
    <row r="48" customFormat="false" ht="13.2" hidden="false" customHeight="false" outlineLevel="0" collapsed="false">
      <c r="A48" s="302" t="n">
        <v>36728</v>
      </c>
      <c r="B48" s="346"/>
      <c r="C48" s="346"/>
      <c r="D48" s="346"/>
      <c r="E48" s="346" t="n">
        <v>10</v>
      </c>
      <c r="F48" s="346"/>
      <c r="G48" s="346"/>
      <c r="H48" s="346" t="n">
        <v>10</v>
      </c>
      <c r="I48" s="346"/>
      <c r="J48" s="346" t="n">
        <v>4</v>
      </c>
      <c r="K48" s="346" t="n">
        <v>4</v>
      </c>
      <c r="L48" s="346"/>
      <c r="M48" s="344"/>
      <c r="N48" s="344"/>
      <c r="O48" s="344"/>
      <c r="P48" s="344"/>
      <c r="Q48" s="344"/>
      <c r="R48" s="344"/>
      <c r="S48" s="344"/>
    </row>
    <row r="49" customFormat="false" ht="13.2" hidden="false" customHeight="false" outlineLevel="0" collapsed="false">
      <c r="A49" s="302" t="n">
        <v>36729</v>
      </c>
      <c r="B49" s="346"/>
      <c r="C49" s="346" t="n">
        <v>4</v>
      </c>
      <c r="D49" s="346"/>
      <c r="E49" s="346"/>
      <c r="F49" s="346"/>
      <c r="G49" s="346"/>
      <c r="H49" s="346"/>
      <c r="I49" s="346"/>
      <c r="J49" s="346" t="n">
        <v>4</v>
      </c>
      <c r="K49" s="346" t="n">
        <v>4</v>
      </c>
      <c r="L49" s="346" t="n">
        <v>10</v>
      </c>
      <c r="M49" s="344"/>
      <c r="N49" s="344"/>
      <c r="O49" s="344"/>
      <c r="P49" s="344"/>
      <c r="Q49" s="344"/>
      <c r="R49" s="344"/>
      <c r="S49" s="344"/>
    </row>
    <row r="50" customFormat="false" ht="13.2" hidden="false" customHeight="false" outlineLevel="0" collapsed="false">
      <c r="A50" s="302" t="n">
        <v>36730</v>
      </c>
      <c r="B50" s="346"/>
      <c r="C50" s="346" t="n">
        <v>4</v>
      </c>
      <c r="D50" s="346"/>
      <c r="E50" s="346"/>
      <c r="F50" s="346" t="n">
        <v>4</v>
      </c>
      <c r="G50" s="346"/>
      <c r="H50" s="346"/>
      <c r="I50" s="346"/>
      <c r="J50" s="346"/>
      <c r="K50" s="346"/>
      <c r="L50" s="346"/>
      <c r="M50" s="344"/>
      <c r="N50" s="344"/>
      <c r="O50" s="344"/>
      <c r="P50" s="347" t="n">
        <f aca="false">SUM(B44:L50)</f>
        <v>258</v>
      </c>
      <c r="Q50" s="347"/>
      <c r="R50" s="344"/>
      <c r="S50" s="344"/>
    </row>
    <row r="51" customFormat="false" ht="13.2" hidden="false" customHeight="false" outlineLevel="0" collapsed="false">
      <c r="A51" s="302" t="s">
        <v>569</v>
      </c>
      <c r="B51" s="344" t="n">
        <f aca="false">SUM(B44:B50)</f>
        <v>30</v>
      </c>
      <c r="C51" s="344" t="n">
        <f aca="false">SUM(C44:C50)</f>
        <v>24</v>
      </c>
      <c r="D51" s="344" t="n">
        <f aca="false">SUM(D44:D50)</f>
        <v>30</v>
      </c>
      <c r="E51" s="344" t="n">
        <f aca="false">SUM(E44:E50)</f>
        <v>50</v>
      </c>
      <c r="F51" s="344" t="n">
        <f aca="false">SUM(F44:F50)</f>
        <v>20</v>
      </c>
      <c r="G51" s="344" t="n">
        <f aca="false">SUM(G44:G50)</f>
        <v>16</v>
      </c>
      <c r="H51" s="344" t="n">
        <f aca="false">SUM(H44:H50)</f>
        <v>20</v>
      </c>
      <c r="I51" s="344" t="n">
        <f aca="false">SUM(I44:I50)</f>
        <v>0</v>
      </c>
      <c r="J51" s="344" t="n">
        <f aca="false">SUM(J44:J50)</f>
        <v>24</v>
      </c>
      <c r="K51" s="344" t="n">
        <f aca="false">SUM(K44:K50)</f>
        <v>24</v>
      </c>
      <c r="L51" s="344" t="n">
        <f aca="false">SUM(L44:L50)</f>
        <v>20</v>
      </c>
      <c r="M51" s="344" t="n">
        <f aca="false">SUM(M44:M50)</f>
        <v>0</v>
      </c>
      <c r="N51" s="344"/>
      <c r="O51" s="344" t="n">
        <f aca="false">SUM(B51:N51)</f>
        <v>258</v>
      </c>
      <c r="P51" s="344"/>
      <c r="Q51" s="344"/>
      <c r="R51" s="344"/>
      <c r="S51" s="344"/>
    </row>
    <row r="52" customFormat="false" ht="13.2" hidden="false" customHeight="false" outlineLevel="0" collapsed="false">
      <c r="A52" s="302" t="n">
        <v>36731</v>
      </c>
      <c r="B52" s="344"/>
      <c r="C52" s="344" t="n">
        <v>10</v>
      </c>
      <c r="D52" s="344"/>
      <c r="E52" s="344" t="n">
        <v>8</v>
      </c>
      <c r="F52" s="344" t="n">
        <v>4</v>
      </c>
      <c r="G52" s="344"/>
      <c r="H52" s="344" t="n">
        <v>4</v>
      </c>
      <c r="I52" s="344"/>
      <c r="J52" s="344"/>
      <c r="K52" s="344" t="n">
        <v>4</v>
      </c>
      <c r="L52" s="344"/>
      <c r="M52" s="344" t="n">
        <v>10</v>
      </c>
      <c r="N52" s="344"/>
      <c r="O52" s="344"/>
      <c r="P52" s="344"/>
      <c r="Q52" s="344"/>
      <c r="R52" s="344"/>
      <c r="S52" s="344"/>
    </row>
    <row r="53" customFormat="false" ht="13.2" hidden="false" customHeight="false" outlineLevel="0" collapsed="false">
      <c r="A53" s="302" t="n">
        <v>36732</v>
      </c>
      <c r="B53" s="344"/>
      <c r="C53" s="344" t="n">
        <v>10</v>
      </c>
      <c r="D53" s="344"/>
      <c r="E53" s="344" t="n">
        <v>8</v>
      </c>
      <c r="F53" s="344" t="n">
        <v>4</v>
      </c>
      <c r="G53" s="344"/>
      <c r="H53" s="344" t="n">
        <v>4</v>
      </c>
      <c r="I53" s="344"/>
      <c r="J53" s="344"/>
      <c r="K53" s="344" t="n">
        <v>4</v>
      </c>
      <c r="L53" s="344"/>
      <c r="M53" s="344" t="n">
        <v>10</v>
      </c>
      <c r="N53" s="344"/>
      <c r="O53" s="344"/>
      <c r="P53" s="344"/>
      <c r="Q53" s="344"/>
      <c r="R53" s="344"/>
      <c r="S53" s="344"/>
    </row>
    <row r="54" customFormat="false" ht="13.2" hidden="false" customHeight="false" outlineLevel="0" collapsed="false">
      <c r="A54" s="302" t="n">
        <v>36733</v>
      </c>
      <c r="B54" s="344"/>
      <c r="C54" s="344" t="n">
        <v>10</v>
      </c>
      <c r="D54" s="344"/>
      <c r="E54" s="344" t="n">
        <v>8</v>
      </c>
      <c r="F54" s="344" t="n">
        <v>4</v>
      </c>
      <c r="G54" s="344"/>
      <c r="H54" s="344" t="n">
        <v>4</v>
      </c>
      <c r="I54" s="344"/>
      <c r="J54" s="344"/>
      <c r="K54" s="344" t="n">
        <v>4</v>
      </c>
      <c r="L54" s="344"/>
      <c r="M54" s="344" t="n">
        <v>10</v>
      </c>
      <c r="N54" s="344"/>
      <c r="O54" s="344"/>
      <c r="P54" s="344"/>
      <c r="Q54" s="344"/>
      <c r="R54" s="344"/>
      <c r="S54" s="344"/>
    </row>
    <row r="55" customFormat="false" ht="13.2" hidden="false" customHeight="false" outlineLevel="0" collapsed="false">
      <c r="A55" s="302" t="n">
        <v>36734</v>
      </c>
      <c r="B55" s="344"/>
      <c r="C55" s="344" t="n">
        <v>10</v>
      </c>
      <c r="D55" s="344"/>
      <c r="E55" s="344" t="n">
        <v>8</v>
      </c>
      <c r="F55" s="344" t="n">
        <v>4</v>
      </c>
      <c r="G55" s="344"/>
      <c r="H55" s="344" t="n">
        <v>4</v>
      </c>
      <c r="I55" s="344"/>
      <c r="J55" s="344" t="n">
        <v>4</v>
      </c>
      <c r="K55" s="344" t="n">
        <v>4</v>
      </c>
      <c r="L55" s="344"/>
      <c r="M55" s="344" t="n">
        <v>10</v>
      </c>
      <c r="N55" s="344"/>
      <c r="O55" s="344"/>
      <c r="P55" s="344"/>
      <c r="Q55" s="344"/>
      <c r="R55" s="344"/>
      <c r="S55" s="344"/>
    </row>
    <row r="56" customFormat="false" ht="13.2" hidden="false" customHeight="false" outlineLevel="0" collapsed="false">
      <c r="A56" s="302" t="n">
        <v>36735</v>
      </c>
      <c r="B56" s="344"/>
      <c r="C56" s="344" t="n">
        <v>10</v>
      </c>
      <c r="D56" s="344"/>
      <c r="E56" s="344" t="n">
        <v>8</v>
      </c>
      <c r="F56" s="344" t="n">
        <v>4</v>
      </c>
      <c r="G56" s="344"/>
      <c r="H56" s="344" t="n">
        <v>4</v>
      </c>
      <c r="I56" s="344"/>
      <c r="J56" s="344" t="n">
        <v>4</v>
      </c>
      <c r="K56" s="344" t="n">
        <v>4</v>
      </c>
      <c r="L56" s="344"/>
      <c r="M56" s="344"/>
      <c r="N56" s="344"/>
      <c r="O56" s="344"/>
      <c r="P56" s="344"/>
      <c r="Q56" s="344"/>
      <c r="R56" s="344"/>
      <c r="S56" s="344"/>
    </row>
    <row r="57" customFormat="false" ht="13.2" hidden="false" customHeight="false" outlineLevel="0" collapsed="false">
      <c r="A57" s="302" t="n">
        <v>36736</v>
      </c>
      <c r="B57" s="344"/>
      <c r="C57" s="344"/>
      <c r="D57" s="344"/>
      <c r="E57" s="344"/>
      <c r="F57" s="344" t="n">
        <v>4</v>
      </c>
      <c r="G57" s="344"/>
      <c r="H57" s="344"/>
      <c r="I57" s="344"/>
      <c r="J57" s="344" t="n">
        <v>4</v>
      </c>
      <c r="K57" s="344" t="n">
        <v>4</v>
      </c>
      <c r="L57" s="344"/>
      <c r="M57" s="344"/>
      <c r="N57" s="344"/>
      <c r="O57" s="344"/>
      <c r="P57" s="344"/>
      <c r="Q57" s="344"/>
      <c r="R57" s="344"/>
      <c r="S57" s="344"/>
    </row>
    <row r="58" customFormat="false" ht="13.2" hidden="false" customHeight="false" outlineLevel="0" collapsed="false">
      <c r="A58" s="302" t="n">
        <v>36737</v>
      </c>
      <c r="B58" s="344"/>
      <c r="C58" s="344"/>
      <c r="D58" s="344"/>
      <c r="E58" s="344"/>
      <c r="F58" s="344"/>
      <c r="G58" s="344"/>
      <c r="H58" s="344"/>
      <c r="I58" s="344"/>
      <c r="J58" s="344"/>
      <c r="K58" s="344"/>
      <c r="L58" s="344"/>
      <c r="M58" s="344"/>
      <c r="N58" s="344"/>
      <c r="O58" s="344"/>
      <c r="P58" s="344"/>
      <c r="Q58" s="344"/>
      <c r="R58" s="344"/>
      <c r="S58" s="344"/>
    </row>
    <row r="59" customFormat="false" ht="13.2" hidden="false" customHeight="false" outlineLevel="0" collapsed="false">
      <c r="A59" s="302" t="s">
        <v>569</v>
      </c>
      <c r="B59" s="344" t="n">
        <f aca="false">SUM(B52:B58)</f>
        <v>0</v>
      </c>
      <c r="C59" s="344" t="n">
        <f aca="false">SUM(C52:C58)</f>
        <v>50</v>
      </c>
      <c r="D59" s="344" t="n">
        <f aca="false">SUM(D52:D58)</f>
        <v>0</v>
      </c>
      <c r="E59" s="344" t="n">
        <f aca="false">SUM(E52:E58)</f>
        <v>40</v>
      </c>
      <c r="F59" s="344" t="n">
        <f aca="false">SUM(F52:F58)</f>
        <v>24</v>
      </c>
      <c r="G59" s="344" t="n">
        <f aca="false">SUM(G52:G58)</f>
        <v>0</v>
      </c>
      <c r="H59" s="344" t="n">
        <f aca="false">SUM(H52:H58)</f>
        <v>20</v>
      </c>
      <c r="I59" s="344" t="n">
        <f aca="false">SUM(I52:I58)</f>
        <v>0</v>
      </c>
      <c r="J59" s="344" t="n">
        <f aca="false">SUM(J52:J58)</f>
        <v>12</v>
      </c>
      <c r="K59" s="344" t="n">
        <f aca="false">SUM(K52:K58)</f>
        <v>24</v>
      </c>
      <c r="L59" s="344" t="n">
        <f aca="false">SUM(L52:L58)</f>
        <v>0</v>
      </c>
      <c r="M59" s="344" t="n">
        <f aca="false">SUM(M52:M58)</f>
        <v>40</v>
      </c>
      <c r="N59" s="344"/>
      <c r="O59" s="344" t="n">
        <f aca="false">SUM(B59:N59)</f>
        <v>210</v>
      </c>
      <c r="P59" s="344"/>
      <c r="Q59" s="344" t="n">
        <f aca="false">+O59</f>
        <v>210</v>
      </c>
      <c r="R59" s="344"/>
      <c r="S59" s="344"/>
    </row>
    <row r="60" customFormat="false" ht="13.2" hidden="false" customHeight="false" outlineLevel="0" collapsed="false">
      <c r="A60" s="302" t="n">
        <v>36738</v>
      </c>
      <c r="B60" s="344"/>
      <c r="C60" s="344" t="n">
        <v>10</v>
      </c>
      <c r="D60" s="344"/>
      <c r="E60" s="344" t="n">
        <v>8</v>
      </c>
      <c r="F60" s="344" t="n">
        <v>4</v>
      </c>
      <c r="G60" s="344"/>
      <c r="H60" s="344" t="n">
        <v>4</v>
      </c>
      <c r="I60" s="344"/>
      <c r="J60" s="344" t="n">
        <v>4</v>
      </c>
      <c r="K60" s="344" t="n">
        <v>4</v>
      </c>
      <c r="L60" s="344" t="n">
        <v>4</v>
      </c>
      <c r="M60" s="344"/>
      <c r="N60" s="344"/>
      <c r="O60" s="344"/>
      <c r="P60" s="344"/>
      <c r="Q60" s="344"/>
      <c r="R60" s="344"/>
      <c r="S60" s="344"/>
    </row>
    <row r="61" customFormat="false" ht="13.2" hidden="false" customHeight="false" outlineLevel="0" collapsed="false">
      <c r="A61" s="302" t="n">
        <v>36739</v>
      </c>
      <c r="B61" s="344"/>
      <c r="C61" s="344" t="n">
        <v>10</v>
      </c>
      <c r="D61" s="344"/>
      <c r="E61" s="344" t="n">
        <v>8</v>
      </c>
      <c r="F61" s="344" t="n">
        <v>4</v>
      </c>
      <c r="G61" s="344"/>
      <c r="H61" s="344" t="n">
        <v>4</v>
      </c>
      <c r="I61" s="344"/>
      <c r="J61" s="344" t="n">
        <v>4</v>
      </c>
      <c r="K61" s="344" t="n">
        <v>4</v>
      </c>
      <c r="L61" s="344" t="n">
        <v>4</v>
      </c>
      <c r="M61" s="344"/>
      <c r="N61" s="344"/>
      <c r="O61" s="344"/>
      <c r="P61" s="344"/>
      <c r="Q61" s="344"/>
      <c r="R61" s="344"/>
      <c r="S61" s="344"/>
    </row>
    <row r="62" customFormat="false" ht="13.2" hidden="false" customHeight="false" outlineLevel="0" collapsed="false">
      <c r="A62" s="302" t="n">
        <v>36740</v>
      </c>
      <c r="B62" s="344"/>
      <c r="C62" s="344" t="n">
        <v>10</v>
      </c>
      <c r="D62" s="344"/>
      <c r="E62" s="344" t="n">
        <v>8</v>
      </c>
      <c r="F62" s="344" t="n">
        <v>4</v>
      </c>
      <c r="G62" s="344"/>
      <c r="H62" s="344" t="n">
        <v>4</v>
      </c>
      <c r="I62" s="344"/>
      <c r="J62" s="344" t="n">
        <v>4</v>
      </c>
      <c r="K62" s="344" t="n">
        <v>4</v>
      </c>
      <c r="L62" s="344" t="n">
        <v>4</v>
      </c>
      <c r="M62" s="344"/>
      <c r="N62" s="344"/>
      <c r="O62" s="344"/>
      <c r="P62" s="344"/>
      <c r="Q62" s="344"/>
      <c r="R62" s="344"/>
      <c r="S62" s="344"/>
    </row>
    <row r="63" customFormat="false" ht="13.2" hidden="false" customHeight="false" outlineLevel="0" collapsed="false">
      <c r="A63" s="302" t="n">
        <v>36741</v>
      </c>
      <c r="B63" s="344"/>
      <c r="C63" s="344" t="n">
        <v>10</v>
      </c>
      <c r="D63" s="344"/>
      <c r="E63" s="344" t="n">
        <v>8</v>
      </c>
      <c r="F63" s="344" t="n">
        <v>4</v>
      </c>
      <c r="G63" s="344"/>
      <c r="H63" s="344" t="n">
        <v>4</v>
      </c>
      <c r="I63" s="344"/>
      <c r="J63" s="344" t="n">
        <v>4</v>
      </c>
      <c r="K63" s="344" t="n">
        <v>4</v>
      </c>
      <c r="L63" s="344" t="n">
        <v>4</v>
      </c>
      <c r="M63" s="344"/>
      <c r="N63" s="344"/>
      <c r="O63" s="344"/>
      <c r="P63" s="344"/>
      <c r="Q63" s="344"/>
      <c r="R63" s="344"/>
      <c r="S63" s="344"/>
    </row>
    <row r="64" customFormat="false" ht="13.2" hidden="false" customHeight="false" outlineLevel="0" collapsed="false">
      <c r="A64" s="302" t="n">
        <v>36742</v>
      </c>
      <c r="B64" s="344"/>
      <c r="C64" s="344"/>
      <c r="D64" s="344"/>
      <c r="E64" s="344" t="n">
        <v>8</v>
      </c>
      <c r="F64" s="344" t="n">
        <v>4</v>
      </c>
      <c r="G64" s="344"/>
      <c r="H64" s="344" t="n">
        <v>4</v>
      </c>
      <c r="I64" s="344"/>
      <c r="J64" s="344" t="n">
        <v>4</v>
      </c>
      <c r="K64" s="344" t="n">
        <v>4</v>
      </c>
      <c r="L64" s="344" t="n">
        <v>4</v>
      </c>
      <c r="M64" s="344"/>
      <c r="N64" s="344"/>
      <c r="O64" s="344"/>
      <c r="P64" s="344"/>
      <c r="Q64" s="344"/>
      <c r="R64" s="344"/>
      <c r="S64" s="344"/>
    </row>
    <row r="65" customFormat="false" ht="13.2" hidden="false" customHeight="false" outlineLevel="0" collapsed="false">
      <c r="A65" s="302" t="n">
        <v>36743</v>
      </c>
      <c r="B65" s="344"/>
      <c r="C65" s="344"/>
      <c r="D65" s="344"/>
      <c r="E65" s="344"/>
      <c r="F65" s="344"/>
      <c r="G65" s="344"/>
      <c r="H65" s="344"/>
      <c r="I65" s="344"/>
      <c r="J65" s="344" t="n">
        <v>4</v>
      </c>
      <c r="K65" s="344" t="n">
        <v>4</v>
      </c>
      <c r="L65" s="344" t="n">
        <v>4</v>
      </c>
      <c r="M65" s="344"/>
      <c r="N65" s="344"/>
      <c r="O65" s="344"/>
      <c r="P65" s="344"/>
      <c r="Q65" s="344"/>
      <c r="R65" s="344"/>
      <c r="S65" s="344"/>
    </row>
    <row r="66" customFormat="false" ht="13.2" hidden="false" customHeight="false" outlineLevel="0" collapsed="false">
      <c r="A66" s="302" t="n">
        <v>36744</v>
      </c>
      <c r="B66" s="344"/>
      <c r="C66" s="344"/>
      <c r="D66" s="344"/>
      <c r="E66" s="344"/>
      <c r="F66" s="344"/>
      <c r="G66" s="344"/>
      <c r="H66" s="344"/>
      <c r="I66" s="344"/>
      <c r="J66" s="344"/>
      <c r="K66" s="344"/>
      <c r="L66" s="344"/>
      <c r="M66" s="344"/>
      <c r="N66" s="344"/>
      <c r="O66" s="344"/>
      <c r="P66" s="344"/>
      <c r="Q66" s="344"/>
      <c r="R66" s="344"/>
      <c r="S66" s="344"/>
    </row>
    <row r="67" customFormat="false" ht="13.2" hidden="false" customHeight="false" outlineLevel="0" collapsed="false">
      <c r="A67" s="302" t="s">
        <v>569</v>
      </c>
      <c r="B67" s="344" t="n">
        <f aca="false">SUM(B60:B66)</f>
        <v>0</v>
      </c>
      <c r="C67" s="344" t="n">
        <f aca="false">SUM(C60:C66)</f>
        <v>40</v>
      </c>
      <c r="D67" s="344" t="n">
        <f aca="false">SUM(D60:D66)</f>
        <v>0</v>
      </c>
      <c r="E67" s="344" t="n">
        <f aca="false">SUM(E60:E66)</f>
        <v>40</v>
      </c>
      <c r="F67" s="344" t="n">
        <f aca="false">SUM(F60:F66)</f>
        <v>20</v>
      </c>
      <c r="G67" s="344" t="n">
        <f aca="false">SUM(G60:G66)</f>
        <v>0</v>
      </c>
      <c r="H67" s="344" t="n">
        <f aca="false">SUM(H60:H66)</f>
        <v>20</v>
      </c>
      <c r="I67" s="344" t="n">
        <f aca="false">SUM(I60:I66)</f>
        <v>0</v>
      </c>
      <c r="J67" s="344" t="n">
        <f aca="false">SUM(J60:J66)</f>
        <v>24</v>
      </c>
      <c r="K67" s="344" t="n">
        <f aca="false">SUM(K60:K66)</f>
        <v>24</v>
      </c>
      <c r="L67" s="344" t="n">
        <f aca="false">SUM(L60:L66)</f>
        <v>24</v>
      </c>
      <c r="M67" s="344" t="n">
        <f aca="false">SUM(M60:M66)</f>
        <v>0</v>
      </c>
      <c r="N67" s="344"/>
      <c r="O67" s="344" t="n">
        <f aca="false">SUM(B67:N67)</f>
        <v>192</v>
      </c>
      <c r="P67" s="344"/>
      <c r="Q67" s="344" t="n">
        <f aca="false">+O67</f>
        <v>192</v>
      </c>
      <c r="R67" s="344"/>
      <c r="S67" s="344"/>
    </row>
    <row r="68" customFormat="false" ht="13.2" hidden="false" customHeight="false" outlineLevel="0" collapsed="false">
      <c r="A68" s="302" t="n">
        <v>36745</v>
      </c>
      <c r="B68" s="344"/>
      <c r="C68" s="344"/>
      <c r="D68" s="344" t="n">
        <v>10</v>
      </c>
      <c r="E68" s="344" t="n">
        <v>10</v>
      </c>
      <c r="F68" s="344" t="n">
        <v>4</v>
      </c>
      <c r="G68" s="344"/>
      <c r="H68" s="344" t="n">
        <v>10</v>
      </c>
      <c r="I68" s="344"/>
      <c r="J68" s="344" t="n">
        <v>4</v>
      </c>
      <c r="K68" s="344" t="n">
        <v>2</v>
      </c>
      <c r="L68" s="344" t="n">
        <v>4</v>
      </c>
      <c r="M68" s="344"/>
      <c r="N68" s="344"/>
      <c r="O68" s="344"/>
      <c r="P68" s="344"/>
      <c r="Q68" s="344"/>
      <c r="R68" s="344"/>
      <c r="S68" s="344"/>
    </row>
    <row r="69" customFormat="false" ht="13.2" hidden="false" customHeight="false" outlineLevel="0" collapsed="false">
      <c r="A69" s="302" t="n">
        <v>36746</v>
      </c>
      <c r="B69" s="344"/>
      <c r="C69" s="344"/>
      <c r="D69" s="344" t="n">
        <v>10</v>
      </c>
      <c r="E69" s="344" t="n">
        <v>10</v>
      </c>
      <c r="F69" s="344" t="n">
        <v>4</v>
      </c>
      <c r="G69" s="344"/>
      <c r="H69" s="344" t="n">
        <v>10</v>
      </c>
      <c r="I69" s="344"/>
      <c r="J69" s="344" t="n">
        <v>4</v>
      </c>
      <c r="K69" s="344" t="n">
        <v>2</v>
      </c>
      <c r="L69" s="344" t="n">
        <v>4</v>
      </c>
      <c r="M69" s="344"/>
      <c r="N69" s="344"/>
      <c r="O69" s="344"/>
      <c r="P69" s="344"/>
      <c r="Q69" s="344"/>
      <c r="R69" s="344"/>
      <c r="S69" s="344"/>
    </row>
    <row r="70" customFormat="false" ht="13.2" hidden="false" customHeight="false" outlineLevel="0" collapsed="false">
      <c r="A70" s="302" t="n">
        <v>36747</v>
      </c>
      <c r="B70" s="344"/>
      <c r="C70" s="344"/>
      <c r="D70" s="344"/>
      <c r="E70" s="344" t="n">
        <v>10</v>
      </c>
      <c r="F70" s="344" t="n">
        <v>4</v>
      </c>
      <c r="G70" s="344"/>
      <c r="H70" s="344"/>
      <c r="I70" s="344"/>
      <c r="J70" s="344" t="n">
        <v>4</v>
      </c>
      <c r="K70" s="344" t="n">
        <v>2</v>
      </c>
      <c r="L70" s="344" t="n">
        <v>4</v>
      </c>
      <c r="M70" s="344"/>
      <c r="N70" s="344"/>
      <c r="O70" s="344"/>
      <c r="P70" s="344"/>
      <c r="Q70" s="344"/>
      <c r="R70" s="344"/>
      <c r="S70" s="344"/>
    </row>
    <row r="71" customFormat="false" ht="13.2" hidden="false" customHeight="false" outlineLevel="0" collapsed="false">
      <c r="A71" s="302" t="n">
        <v>36748</v>
      </c>
      <c r="B71" s="344"/>
      <c r="C71" s="344"/>
      <c r="D71" s="344"/>
      <c r="E71" s="344" t="n">
        <v>10</v>
      </c>
      <c r="F71" s="344" t="n">
        <v>4</v>
      </c>
      <c r="G71" s="344"/>
      <c r="H71" s="344"/>
      <c r="I71" s="344"/>
      <c r="J71" s="344" t="n">
        <v>4</v>
      </c>
      <c r="K71" s="344" t="n">
        <v>2</v>
      </c>
      <c r="L71" s="344" t="n">
        <v>4</v>
      </c>
      <c r="M71" s="344"/>
      <c r="N71" s="344"/>
      <c r="O71" s="344"/>
      <c r="P71" s="344"/>
      <c r="Q71" s="344"/>
      <c r="R71" s="344"/>
      <c r="S71" s="344"/>
    </row>
    <row r="72" customFormat="false" ht="13.2" hidden="false" customHeight="false" outlineLevel="0" collapsed="false">
      <c r="A72" s="302" t="n">
        <v>36749</v>
      </c>
      <c r="B72" s="344"/>
      <c r="C72" s="344"/>
      <c r="D72" s="344"/>
      <c r="E72" s="344" t="n">
        <v>10</v>
      </c>
      <c r="F72" s="344" t="n">
        <v>4</v>
      </c>
      <c r="G72" s="344"/>
      <c r="H72" s="344"/>
      <c r="I72" s="344"/>
      <c r="J72" s="344" t="n">
        <v>4</v>
      </c>
      <c r="K72" s="344" t="n">
        <v>4</v>
      </c>
      <c r="L72" s="344" t="n">
        <v>4</v>
      </c>
      <c r="M72" s="344"/>
      <c r="N72" s="344"/>
      <c r="O72" s="344"/>
      <c r="P72" s="344"/>
      <c r="Q72" s="344"/>
      <c r="R72" s="344"/>
      <c r="S72" s="344"/>
    </row>
    <row r="73" customFormat="false" ht="13.2" hidden="false" customHeight="false" outlineLevel="0" collapsed="false">
      <c r="A73" s="302" t="n">
        <v>36750</v>
      </c>
      <c r="B73" s="344"/>
      <c r="C73" s="344"/>
      <c r="D73" s="344"/>
      <c r="E73" s="344"/>
      <c r="F73" s="344"/>
      <c r="G73" s="344"/>
      <c r="H73" s="344"/>
      <c r="I73" s="344"/>
      <c r="J73" s="344" t="n">
        <v>4</v>
      </c>
      <c r="K73" s="344"/>
      <c r="L73" s="344" t="n">
        <v>4</v>
      </c>
      <c r="M73" s="344"/>
      <c r="N73" s="344"/>
      <c r="O73" s="344"/>
      <c r="P73" s="344"/>
      <c r="Q73" s="344"/>
      <c r="R73" s="344"/>
      <c r="S73" s="344"/>
    </row>
    <row r="74" customFormat="false" ht="13.2" hidden="false" customHeight="false" outlineLevel="0" collapsed="false">
      <c r="A74" s="302" t="n">
        <v>36751</v>
      </c>
      <c r="B74" s="344"/>
      <c r="C74" s="344"/>
      <c r="D74" s="344"/>
      <c r="E74" s="344"/>
      <c r="F74" s="344"/>
      <c r="G74" s="344"/>
      <c r="H74" s="344"/>
      <c r="I74" s="344"/>
      <c r="J74" s="344"/>
      <c r="K74" s="344"/>
      <c r="L74" s="344"/>
      <c r="M74" s="344"/>
      <c r="N74" s="344"/>
      <c r="O74" s="344"/>
      <c r="P74" s="344"/>
      <c r="Q74" s="344"/>
      <c r="R74" s="344"/>
      <c r="S74" s="344"/>
    </row>
    <row r="75" customFormat="false" ht="13.2" hidden="false" customHeight="false" outlineLevel="0" collapsed="false">
      <c r="A75" s="302" t="s">
        <v>569</v>
      </c>
      <c r="B75" s="344" t="n">
        <f aca="false">SUM(B68:B74)</f>
        <v>0</v>
      </c>
      <c r="C75" s="344" t="n">
        <f aca="false">SUM(C68:C74)</f>
        <v>0</v>
      </c>
      <c r="D75" s="344" t="n">
        <f aca="false">SUM(D68:D74)</f>
        <v>20</v>
      </c>
      <c r="E75" s="344" t="n">
        <f aca="false">SUM(E68:E74)</f>
        <v>50</v>
      </c>
      <c r="F75" s="344" t="n">
        <f aca="false">SUM(F68:F74)</f>
        <v>20</v>
      </c>
      <c r="G75" s="344" t="n">
        <f aca="false">SUM(G68:G74)</f>
        <v>0</v>
      </c>
      <c r="H75" s="344" t="n">
        <f aca="false">SUM(H68:H74)</f>
        <v>20</v>
      </c>
      <c r="I75" s="344" t="n">
        <f aca="false">SUM(I68:I74)</f>
        <v>0</v>
      </c>
      <c r="J75" s="344" t="n">
        <f aca="false">SUM(J68:J74)</f>
        <v>24</v>
      </c>
      <c r="K75" s="344" t="n">
        <f aca="false">SUM(K68:K74)</f>
        <v>12</v>
      </c>
      <c r="L75" s="344" t="n">
        <f aca="false">SUM(L68:L74)</f>
        <v>24</v>
      </c>
      <c r="M75" s="344" t="n">
        <f aca="false">SUM(M68:M74)</f>
        <v>0</v>
      </c>
      <c r="N75" s="344"/>
      <c r="O75" s="344" t="n">
        <f aca="false">SUM(B75:N75)</f>
        <v>170</v>
      </c>
      <c r="P75" s="344"/>
      <c r="Q75" s="344" t="n">
        <f aca="false">+O75</f>
        <v>170</v>
      </c>
      <c r="R75" s="344"/>
      <c r="S75" s="344"/>
    </row>
    <row r="76" customFormat="false" ht="13.2" hidden="false" customHeight="false" outlineLevel="0" collapsed="false">
      <c r="A76" s="302" t="s">
        <v>570</v>
      </c>
      <c r="B76" s="344"/>
      <c r="C76" s="344"/>
      <c r="D76" s="344"/>
      <c r="E76" s="344"/>
      <c r="F76" s="344"/>
      <c r="G76" s="344"/>
      <c r="H76" s="344"/>
      <c r="I76" s="344"/>
      <c r="J76" s="344"/>
      <c r="K76" s="344"/>
      <c r="L76" s="344"/>
      <c r="M76" s="344"/>
      <c r="N76" s="344" t="n">
        <v>170</v>
      </c>
      <c r="O76" s="344"/>
      <c r="P76" s="344"/>
      <c r="Q76" s="344"/>
      <c r="R76" s="344"/>
      <c r="S76" s="344"/>
    </row>
    <row r="77" customFormat="false" ht="13.2" hidden="false" customHeight="false" outlineLevel="0" collapsed="false">
      <c r="A77" s="302" t="s">
        <v>571</v>
      </c>
      <c r="B77" s="344"/>
      <c r="C77" s="344"/>
      <c r="D77" s="344"/>
      <c r="E77" s="344"/>
      <c r="F77" s="344"/>
      <c r="G77" s="344"/>
      <c r="H77" s="344"/>
      <c r="I77" s="344"/>
      <c r="J77" s="344"/>
      <c r="K77" s="344"/>
      <c r="L77" s="344"/>
      <c r="M77" s="344"/>
      <c r="N77" s="344" t="n">
        <v>170</v>
      </c>
      <c r="O77" s="344"/>
      <c r="P77" s="344"/>
      <c r="Q77" s="344"/>
      <c r="R77" s="344"/>
      <c r="S77" s="344"/>
    </row>
    <row r="78" customFormat="false" ht="13.2" hidden="false" customHeight="false" outlineLevel="0" collapsed="false">
      <c r="A78" s="302" t="s">
        <v>572</v>
      </c>
      <c r="B78" s="344"/>
      <c r="C78" s="344"/>
      <c r="D78" s="344"/>
      <c r="E78" s="344"/>
      <c r="F78" s="344"/>
      <c r="G78" s="344"/>
      <c r="H78" s="344"/>
      <c r="I78" s="344"/>
      <c r="J78" s="344"/>
      <c r="K78" s="344"/>
      <c r="L78" s="344"/>
      <c r="M78" s="344"/>
      <c r="N78" s="344" t="n">
        <v>170</v>
      </c>
      <c r="O78" s="344"/>
      <c r="P78" s="344"/>
      <c r="Q78" s="344"/>
      <c r="R78" s="344"/>
      <c r="S78" s="344"/>
    </row>
    <row r="79" customFormat="false" ht="13.2" hidden="false" customHeight="false" outlineLevel="0" collapsed="false">
      <c r="B79" s="344"/>
      <c r="C79" s="344"/>
      <c r="D79" s="344"/>
      <c r="E79" s="344"/>
      <c r="F79" s="344"/>
      <c r="G79" s="344"/>
      <c r="H79" s="344"/>
      <c r="I79" s="344"/>
      <c r="J79" s="344"/>
      <c r="K79" s="344"/>
      <c r="L79" s="344"/>
      <c r="M79" s="344"/>
      <c r="N79" s="344"/>
      <c r="O79" s="344"/>
      <c r="P79" s="344"/>
      <c r="Q79" s="344"/>
      <c r="R79" s="344"/>
      <c r="S79" s="344"/>
    </row>
    <row r="80" customFormat="false" ht="13.2" hidden="false" customHeight="false" outlineLevel="0" collapsed="false">
      <c r="B80" s="344"/>
      <c r="C80" s="344"/>
      <c r="D80" s="344"/>
      <c r="E80" s="344"/>
      <c r="F80" s="344"/>
      <c r="G80" s="344"/>
      <c r="H80" s="344"/>
      <c r="I80" s="344"/>
      <c r="J80" s="344"/>
      <c r="K80" s="344"/>
      <c r="L80" s="344"/>
      <c r="M80" s="344"/>
      <c r="N80" s="344"/>
      <c r="O80" s="344"/>
      <c r="P80" s="344"/>
      <c r="Q80" s="344"/>
      <c r="R80" s="344"/>
      <c r="S80" s="344"/>
    </row>
    <row r="81" customFormat="false" ht="13.2" hidden="false" customHeight="false" outlineLevel="0" collapsed="false">
      <c r="B81" s="344"/>
      <c r="C81" s="344"/>
      <c r="D81" s="344"/>
      <c r="E81" s="344"/>
      <c r="F81" s="344"/>
      <c r="G81" s="344"/>
      <c r="H81" s="344"/>
      <c r="I81" s="344"/>
      <c r="J81" s="344"/>
      <c r="K81" s="344"/>
      <c r="L81" s="344"/>
      <c r="M81" s="344"/>
      <c r="N81" s="344"/>
      <c r="O81" s="344"/>
      <c r="P81" s="344"/>
      <c r="Q81" s="344"/>
      <c r="R81" s="344"/>
      <c r="S81" s="344"/>
    </row>
    <row r="82" customFormat="false" ht="13.2" hidden="false" customHeight="false" outlineLevel="0" collapsed="false">
      <c r="B82" s="344"/>
      <c r="C82" s="344"/>
      <c r="D82" s="344"/>
      <c r="E82" s="344"/>
      <c r="F82" s="344"/>
      <c r="G82" s="344"/>
      <c r="H82" s="344"/>
      <c r="I82" s="344"/>
      <c r="J82" s="344"/>
      <c r="K82" s="344"/>
      <c r="L82" s="344"/>
      <c r="M82" s="344"/>
      <c r="N82" s="344"/>
      <c r="O82" s="344"/>
      <c r="P82" s="344"/>
      <c r="Q82" s="344"/>
      <c r="R82" s="344"/>
      <c r="S82" s="344"/>
    </row>
    <row r="83" customFormat="false" ht="13.2" hidden="false" customHeight="false" outlineLevel="0" collapsed="false">
      <c r="A83" s="302" t="s">
        <v>569</v>
      </c>
      <c r="B83" s="344" t="n">
        <f aca="false">SUM(B76:B82)</f>
        <v>0</v>
      </c>
      <c r="C83" s="344" t="n">
        <f aca="false">SUM(C76:C82)</f>
        <v>0</v>
      </c>
      <c r="D83" s="344" t="n">
        <f aca="false">SUM(D76:D82)</f>
        <v>0</v>
      </c>
      <c r="E83" s="344" t="n">
        <f aca="false">SUM(E76:E82)</f>
        <v>0</v>
      </c>
      <c r="F83" s="344" t="n">
        <f aca="false">SUM(F76:F82)</f>
        <v>0</v>
      </c>
      <c r="G83" s="344" t="n">
        <f aca="false">SUM(G76:G82)</f>
        <v>0</v>
      </c>
      <c r="H83" s="344" t="n">
        <f aca="false">SUM(H76:H82)</f>
        <v>0</v>
      </c>
      <c r="I83" s="344" t="n">
        <f aca="false">SUM(I76:I82)</f>
        <v>0</v>
      </c>
      <c r="J83" s="344" t="n">
        <f aca="false">SUM(J76:J82)</f>
        <v>0</v>
      </c>
      <c r="K83" s="344" t="n">
        <f aca="false">SUM(K76:K82)</f>
        <v>0</v>
      </c>
      <c r="L83" s="344" t="n">
        <f aca="false">SUM(L76:L82)</f>
        <v>0</v>
      </c>
      <c r="M83" s="344" t="n">
        <f aca="false">SUM(M76:M82)</f>
        <v>0</v>
      </c>
      <c r="N83" s="344" t="n">
        <f aca="false">SUM(N76:N82)</f>
        <v>510</v>
      </c>
      <c r="O83" s="344" t="n">
        <f aca="false">SUM(B83:N83)</f>
        <v>510</v>
      </c>
      <c r="P83" s="344"/>
      <c r="Q83" s="348" t="n">
        <f aca="false">+O83</f>
        <v>510</v>
      </c>
      <c r="R83" s="344"/>
      <c r="S83" s="344"/>
    </row>
    <row r="84" customFormat="false" ht="13.2" hidden="false" customHeight="false" outlineLevel="0" collapsed="false">
      <c r="B84" s="344"/>
      <c r="C84" s="344"/>
      <c r="D84" s="344"/>
      <c r="E84" s="344"/>
      <c r="F84" s="344"/>
      <c r="G84" s="344"/>
      <c r="H84" s="344"/>
      <c r="I84" s="344"/>
      <c r="J84" s="344"/>
      <c r="K84" s="344"/>
      <c r="L84" s="344"/>
      <c r="M84" s="344"/>
      <c r="N84" s="344"/>
      <c r="O84" s="344" t="n">
        <f aca="false">SUM(O5:O83)</f>
        <v>2183</v>
      </c>
      <c r="P84" s="344"/>
      <c r="Q84" s="344" t="n">
        <f aca="false">SUM(Q5:Q83)</f>
        <v>1082</v>
      </c>
      <c r="R84" s="344"/>
      <c r="S84" s="344"/>
    </row>
    <row r="85" customFormat="false" ht="13.2" hidden="false" customHeight="false" outlineLevel="0" collapsed="false">
      <c r="A85" s="302" t="s">
        <v>573</v>
      </c>
      <c r="B85" s="344" t="n">
        <f aca="false">SUM(B83,B75,B67,B59,B51,B43,B35,B27,B19,B11)</f>
        <v>130</v>
      </c>
      <c r="C85" s="344" t="n">
        <f aca="false">SUM(C83,C75,C67,C59,C51,C43,C35,C27,C19,C11)</f>
        <v>198</v>
      </c>
      <c r="D85" s="344" t="n">
        <f aca="false">SUM(D83,D75,D67,D59,D51,D43,D35,D27,D19,D11)</f>
        <v>158</v>
      </c>
      <c r="E85" s="344" t="n">
        <f aca="false">SUM(E83,E75,E67,E59,E51,E43,E35,E27,E19,E11)</f>
        <v>400</v>
      </c>
      <c r="F85" s="344" t="n">
        <f aca="false">SUM(F83,F75,F67,F59,F51,F43,F35,F27,F19,F11)</f>
        <v>244</v>
      </c>
      <c r="G85" s="344" t="n">
        <f aca="false">SUM(G83,G75,G67,G59,G51,G43,G35,G27,G19,G11)</f>
        <v>32</v>
      </c>
      <c r="H85" s="344" t="n">
        <f aca="false">SUM(H83,H75,H67,H59,H51,H43,H35,H27,H19,H11)</f>
        <v>100</v>
      </c>
      <c r="I85" s="344" t="n">
        <f aca="false">SUM(I83,I75,I67,I59,I51,I43,I35,I27,I19,I11)</f>
        <v>77</v>
      </c>
      <c r="J85" s="344" t="n">
        <f aca="false">SUM(J83,J75,J67,J59,J51,J43,J35,J27,J19,J11)</f>
        <v>112</v>
      </c>
      <c r="K85" s="344" t="n">
        <f aca="false">SUM(K83,K75,K67,K59,K51,K43,K35,K27,K19,K11)</f>
        <v>84</v>
      </c>
      <c r="L85" s="344" t="n">
        <f aca="false">SUM(L83,L75,L67,L59,L51,L43,L35,L27,L19,L11)</f>
        <v>98</v>
      </c>
      <c r="M85" s="344" t="n">
        <f aca="false">SUM(M83,M75,M67,M59,M51,M43,M35,M27,M19,M11)</f>
        <v>40</v>
      </c>
      <c r="N85" s="344" t="n">
        <f aca="false">SUM(N83,N75,N67,N59,N51,N43,N35,N27,N19,N11)</f>
        <v>510</v>
      </c>
      <c r="O85" s="344" t="n">
        <f aca="false">SUM(B85:N85)</f>
        <v>2183</v>
      </c>
      <c r="P85" s="347" t="n">
        <f aca="false">+P11+P11+P16+P42</f>
        <v>344.5</v>
      </c>
      <c r="Q85" s="347"/>
      <c r="R85" s="344"/>
      <c r="S85" s="344"/>
    </row>
    <row r="86" customFormat="false" ht="13.2" hidden="false" customHeight="false" outlineLevel="0" collapsed="false">
      <c r="B86" s="344"/>
      <c r="C86" s="344"/>
      <c r="D86" s="344"/>
      <c r="E86" s="344"/>
      <c r="F86" s="344"/>
      <c r="G86" s="344"/>
      <c r="H86" s="344"/>
      <c r="I86" s="344"/>
      <c r="J86" s="344"/>
      <c r="K86" s="344"/>
      <c r="L86" s="344"/>
      <c r="M86" s="344"/>
      <c r="N86" s="344"/>
      <c r="O86" s="344"/>
      <c r="P86" s="344"/>
      <c r="Q86" s="344"/>
      <c r="R86" s="344"/>
      <c r="S86" s="344"/>
    </row>
    <row r="87" customFormat="false" ht="13.2" hidden="false" customHeight="false" outlineLevel="0" collapsed="false">
      <c r="B87" s="344"/>
      <c r="C87" s="344"/>
      <c r="D87" s="344"/>
      <c r="E87" s="344"/>
      <c r="F87" s="344"/>
      <c r="G87" s="344"/>
      <c r="H87" s="344"/>
      <c r="I87" s="344"/>
      <c r="J87" s="344"/>
      <c r="K87" s="344"/>
      <c r="L87" s="344"/>
      <c r="M87" s="344"/>
      <c r="N87" s="344"/>
      <c r="O87" s="344"/>
      <c r="P87" s="344"/>
      <c r="Q87" s="344"/>
      <c r="R87" s="344"/>
      <c r="S87" s="344"/>
    </row>
    <row r="88" customFormat="false" ht="13.2" hidden="false" customHeight="false" outlineLevel="0" collapsed="false">
      <c r="B88" s="344"/>
      <c r="C88" s="344"/>
      <c r="D88" s="344"/>
      <c r="E88" s="344"/>
      <c r="F88" s="344"/>
      <c r="G88" s="344"/>
      <c r="H88" s="344"/>
      <c r="I88" s="344"/>
      <c r="J88" s="344"/>
      <c r="K88" s="344"/>
      <c r="L88" s="344"/>
      <c r="M88" s="344"/>
      <c r="N88" s="344"/>
      <c r="O88" s="344"/>
      <c r="P88" s="344"/>
      <c r="Q88" s="344"/>
      <c r="R88" s="344"/>
      <c r="S88" s="344"/>
    </row>
    <row r="89" customFormat="false" ht="13.2" hidden="false" customHeight="false" outlineLevel="0" collapsed="false">
      <c r="B89" s="344"/>
      <c r="C89" s="344"/>
      <c r="D89" s="344"/>
      <c r="E89" s="344"/>
      <c r="F89" s="344"/>
      <c r="G89" s="344"/>
      <c r="H89" s="344"/>
      <c r="I89" s="344"/>
      <c r="J89" s="344"/>
      <c r="K89" s="344"/>
      <c r="L89" s="344"/>
      <c r="M89" s="344"/>
      <c r="N89" s="344"/>
      <c r="O89" s="344"/>
      <c r="P89" s="344"/>
      <c r="Q89" s="344"/>
      <c r="R89" s="344"/>
      <c r="S89" s="344"/>
    </row>
    <row r="90" customFormat="false" ht="13.2" hidden="false" customHeight="false" outlineLevel="0" collapsed="false">
      <c r="B90" s="344"/>
      <c r="C90" s="344"/>
      <c r="D90" s="344"/>
      <c r="E90" s="344"/>
      <c r="F90" s="344"/>
      <c r="G90" s="344"/>
      <c r="H90" s="344"/>
      <c r="I90" s="344"/>
      <c r="J90" s="344"/>
      <c r="K90" s="344"/>
      <c r="L90" s="344"/>
      <c r="M90" s="344"/>
      <c r="N90" s="344"/>
      <c r="O90" s="344"/>
      <c r="P90" s="344"/>
      <c r="Q90" s="344"/>
      <c r="R90" s="344"/>
      <c r="S90" s="344"/>
    </row>
    <row r="91" customFormat="false" ht="13.2" hidden="false" customHeight="false" outlineLevel="0" collapsed="false">
      <c r="B91" s="344"/>
      <c r="C91" s="344"/>
      <c r="D91" s="344"/>
      <c r="E91" s="344"/>
      <c r="F91" s="344"/>
      <c r="G91" s="344"/>
      <c r="H91" s="344"/>
      <c r="I91" s="344"/>
      <c r="J91" s="344"/>
      <c r="K91" s="344"/>
      <c r="L91" s="344"/>
      <c r="M91" s="344"/>
      <c r="N91" s="344"/>
      <c r="O91" s="344"/>
      <c r="P91" s="344"/>
      <c r="Q91" s="344"/>
      <c r="R91" s="344"/>
      <c r="S91" s="344"/>
    </row>
    <row r="92" customFormat="false" ht="13.2" hidden="false" customHeight="false" outlineLevel="0" collapsed="false">
      <c r="B92" s="344"/>
      <c r="C92" s="344"/>
      <c r="D92" s="344"/>
      <c r="E92" s="344"/>
      <c r="F92" s="344"/>
      <c r="G92" s="344"/>
      <c r="H92" s="344"/>
      <c r="I92" s="344"/>
      <c r="J92" s="344"/>
      <c r="K92" s="344"/>
      <c r="L92" s="344"/>
      <c r="M92" s="344"/>
      <c r="N92" s="344"/>
      <c r="O92" s="344"/>
      <c r="P92" s="344"/>
      <c r="Q92" s="344"/>
      <c r="R92" s="344"/>
      <c r="S92" s="344"/>
    </row>
    <row r="93" customFormat="false" ht="13.2" hidden="false" customHeight="false" outlineLevel="0" collapsed="false">
      <c r="B93" s="344"/>
      <c r="C93" s="344"/>
      <c r="D93" s="344"/>
      <c r="E93" s="344"/>
      <c r="F93" s="344"/>
      <c r="G93" s="344"/>
      <c r="H93" s="344"/>
      <c r="I93" s="344"/>
      <c r="J93" s="344"/>
      <c r="K93" s="344"/>
      <c r="L93" s="344"/>
      <c r="M93" s="344"/>
      <c r="N93" s="344"/>
      <c r="O93" s="344"/>
      <c r="P93" s="344"/>
      <c r="Q93" s="344"/>
      <c r="R93" s="344"/>
      <c r="S93" s="344"/>
    </row>
    <row r="94" customFormat="false" ht="13.2" hidden="false" customHeight="false" outlineLevel="0" collapsed="false">
      <c r="B94" s="344"/>
      <c r="C94" s="344"/>
      <c r="D94" s="344"/>
      <c r="E94" s="344"/>
      <c r="F94" s="344"/>
      <c r="G94" s="344"/>
      <c r="H94" s="344"/>
      <c r="I94" s="344"/>
      <c r="J94" s="344"/>
      <c r="K94" s="344"/>
      <c r="L94" s="344"/>
      <c r="M94" s="344"/>
      <c r="N94" s="344"/>
      <c r="O94" s="344"/>
      <c r="P94" s="344"/>
      <c r="Q94" s="344"/>
      <c r="R94" s="344"/>
      <c r="S94" s="344"/>
    </row>
    <row r="95" customFormat="false" ht="13.2" hidden="false" customHeight="false" outlineLevel="0" collapsed="false">
      <c r="B95" s="344"/>
      <c r="C95" s="344"/>
      <c r="D95" s="344"/>
      <c r="E95" s="344"/>
      <c r="F95" s="344"/>
      <c r="G95" s="344"/>
      <c r="H95" s="344"/>
      <c r="I95" s="344"/>
      <c r="J95" s="344"/>
      <c r="K95" s="344"/>
      <c r="L95" s="344"/>
      <c r="M95" s="344"/>
      <c r="N95" s="344"/>
      <c r="O95" s="344"/>
      <c r="P95" s="344"/>
      <c r="Q95" s="344"/>
      <c r="R95" s="344"/>
      <c r="S95" s="344"/>
    </row>
    <row r="96" customFormat="false" ht="13.2" hidden="false" customHeight="false" outlineLevel="0" collapsed="false">
      <c r="B96" s="344"/>
      <c r="C96" s="344"/>
      <c r="D96" s="344"/>
      <c r="E96" s="344"/>
      <c r="F96" s="344"/>
      <c r="G96" s="344"/>
      <c r="H96" s="344"/>
      <c r="I96" s="344"/>
      <c r="J96" s="344"/>
      <c r="K96" s="344"/>
      <c r="L96" s="344"/>
      <c r="M96" s="344"/>
      <c r="N96" s="344"/>
      <c r="O96" s="344"/>
      <c r="P96" s="344"/>
      <c r="Q96" s="344"/>
      <c r="R96" s="344"/>
      <c r="S96" s="344"/>
    </row>
    <row r="97" customFormat="false" ht="13.2" hidden="false" customHeight="false" outlineLevel="0" collapsed="false">
      <c r="B97" s="344"/>
      <c r="C97" s="344"/>
      <c r="D97" s="344"/>
      <c r="E97" s="344"/>
      <c r="F97" s="344"/>
      <c r="G97" s="344"/>
      <c r="H97" s="344"/>
      <c r="I97" s="344"/>
      <c r="J97" s="344"/>
      <c r="K97" s="344"/>
      <c r="L97" s="344"/>
      <c r="M97" s="344"/>
      <c r="N97" s="344"/>
      <c r="O97" s="344"/>
      <c r="P97" s="344"/>
      <c r="Q97" s="344"/>
      <c r="R97" s="344"/>
      <c r="S97" s="344"/>
    </row>
    <row r="98" customFormat="false" ht="13.2" hidden="false" customHeight="false" outlineLevel="0" collapsed="false">
      <c r="B98" s="344"/>
      <c r="C98" s="344"/>
      <c r="D98" s="344"/>
      <c r="E98" s="344"/>
      <c r="F98" s="344"/>
      <c r="G98" s="344"/>
      <c r="H98" s="344"/>
      <c r="I98" s="344"/>
      <c r="J98" s="344"/>
      <c r="K98" s="344"/>
      <c r="L98" s="344"/>
      <c r="M98" s="344"/>
      <c r="N98" s="344"/>
      <c r="O98" s="344"/>
      <c r="P98" s="344"/>
      <c r="Q98" s="344"/>
      <c r="R98" s="344"/>
      <c r="S98" s="344"/>
    </row>
    <row r="99" customFormat="false" ht="13.2" hidden="false" customHeight="false" outlineLevel="0" collapsed="false">
      <c r="B99" s="344"/>
      <c r="C99" s="344"/>
      <c r="D99" s="344"/>
      <c r="E99" s="344"/>
      <c r="F99" s="344"/>
      <c r="G99" s="344"/>
      <c r="H99" s="344"/>
      <c r="I99" s="344"/>
      <c r="J99" s="344"/>
      <c r="K99" s="344"/>
      <c r="L99" s="344"/>
      <c r="M99" s="344"/>
      <c r="N99" s="344"/>
      <c r="O99" s="344"/>
      <c r="P99" s="344"/>
      <c r="Q99" s="344"/>
      <c r="R99" s="344"/>
      <c r="S99" s="344"/>
    </row>
    <row r="100" customFormat="false" ht="13.2" hidden="false" customHeight="false" outlineLevel="0" collapsed="false">
      <c r="B100" s="344"/>
      <c r="C100" s="344"/>
      <c r="D100" s="344"/>
      <c r="E100" s="344"/>
      <c r="F100" s="344"/>
      <c r="G100" s="344"/>
      <c r="H100" s="344"/>
      <c r="I100" s="344"/>
      <c r="J100" s="344"/>
      <c r="K100" s="344"/>
      <c r="L100" s="344"/>
      <c r="M100" s="344"/>
      <c r="N100" s="344"/>
      <c r="O100" s="344"/>
      <c r="P100" s="344"/>
      <c r="Q100" s="344"/>
      <c r="R100" s="344"/>
      <c r="S100" s="344"/>
    </row>
    <row r="101" customFormat="false" ht="13.2" hidden="false" customHeight="false" outlineLevel="0" collapsed="false">
      <c r="B101" s="344"/>
      <c r="C101" s="344"/>
      <c r="D101" s="344"/>
      <c r="E101" s="344"/>
      <c r="F101" s="344"/>
      <c r="G101" s="344"/>
      <c r="H101" s="344"/>
      <c r="I101" s="344"/>
      <c r="J101" s="344"/>
      <c r="K101" s="344"/>
      <c r="L101" s="344"/>
      <c r="M101" s="344"/>
      <c r="N101" s="344"/>
      <c r="O101" s="344"/>
      <c r="P101" s="344"/>
      <c r="Q101" s="344"/>
      <c r="R101" s="344"/>
      <c r="S101" s="344"/>
    </row>
    <row r="102" customFormat="false" ht="13.2" hidden="false" customHeight="false" outlineLevel="0" collapsed="false">
      <c r="B102" s="344"/>
      <c r="C102" s="344"/>
      <c r="D102" s="344"/>
      <c r="E102" s="344"/>
      <c r="F102" s="344"/>
      <c r="G102" s="344"/>
      <c r="H102" s="344"/>
      <c r="I102" s="344"/>
      <c r="J102" s="344"/>
      <c r="K102" s="344"/>
      <c r="L102" s="344"/>
      <c r="M102" s="344"/>
      <c r="N102" s="344"/>
      <c r="O102" s="344"/>
      <c r="P102" s="344"/>
      <c r="Q102" s="344"/>
      <c r="R102" s="344"/>
      <c r="S102" s="344"/>
    </row>
    <row r="103" customFormat="false" ht="13.2" hidden="false" customHeight="false" outlineLevel="0" collapsed="false">
      <c r="B103" s="344"/>
      <c r="C103" s="344"/>
      <c r="D103" s="344"/>
      <c r="E103" s="344"/>
      <c r="F103" s="344"/>
      <c r="G103" s="344"/>
      <c r="H103" s="344"/>
      <c r="I103" s="344"/>
      <c r="J103" s="344"/>
      <c r="K103" s="344"/>
      <c r="L103" s="344"/>
      <c r="M103" s="344"/>
      <c r="N103" s="344"/>
      <c r="O103" s="344"/>
      <c r="P103" s="344"/>
      <c r="Q103" s="344"/>
      <c r="R103" s="344"/>
      <c r="S103" s="344"/>
    </row>
    <row r="104" customFormat="false" ht="13.2" hidden="false" customHeight="false" outlineLevel="0" collapsed="false">
      <c r="B104" s="344"/>
      <c r="C104" s="344"/>
      <c r="D104" s="344"/>
      <c r="E104" s="344"/>
      <c r="F104" s="344"/>
      <c r="G104" s="344"/>
      <c r="H104" s="344"/>
      <c r="I104" s="344"/>
      <c r="J104" s="344"/>
      <c r="K104" s="344"/>
      <c r="L104" s="344"/>
      <c r="M104" s="344"/>
      <c r="N104" s="344"/>
      <c r="O104" s="344"/>
      <c r="P104" s="344"/>
      <c r="Q104" s="344"/>
      <c r="R104" s="344"/>
      <c r="S104" s="344"/>
    </row>
    <row r="105" customFormat="false" ht="13.2" hidden="false" customHeight="false" outlineLevel="0" collapsed="false">
      <c r="B105" s="344"/>
      <c r="C105" s="344"/>
      <c r="D105" s="344"/>
      <c r="E105" s="344"/>
      <c r="F105" s="344"/>
      <c r="G105" s="344"/>
      <c r="H105" s="344"/>
      <c r="I105" s="344"/>
      <c r="J105" s="344"/>
      <c r="K105" s="344"/>
      <c r="L105" s="344"/>
      <c r="M105" s="344"/>
      <c r="N105" s="344"/>
      <c r="O105" s="344"/>
      <c r="P105" s="344"/>
      <c r="Q105" s="344"/>
      <c r="R105" s="344"/>
      <c r="S105" s="344"/>
    </row>
    <row r="106" customFormat="false" ht="13.2" hidden="false" customHeight="false" outlineLevel="0" collapsed="false">
      <c r="B106" s="344"/>
      <c r="C106" s="344"/>
      <c r="D106" s="344"/>
      <c r="E106" s="344"/>
      <c r="F106" s="344"/>
      <c r="G106" s="344"/>
      <c r="H106" s="344"/>
      <c r="I106" s="344"/>
      <c r="J106" s="344"/>
      <c r="K106" s="344"/>
      <c r="L106" s="344"/>
      <c r="M106" s="344"/>
      <c r="N106" s="344"/>
      <c r="O106" s="344"/>
      <c r="P106" s="344"/>
      <c r="Q106" s="344"/>
      <c r="R106" s="344"/>
      <c r="S106" s="344"/>
    </row>
    <row r="107" customFormat="false" ht="13.2" hidden="false" customHeight="false" outlineLevel="0" collapsed="false">
      <c r="B107" s="344"/>
      <c r="C107" s="344"/>
      <c r="D107" s="344"/>
      <c r="E107" s="344"/>
      <c r="F107" s="344"/>
      <c r="G107" s="344"/>
      <c r="H107" s="344"/>
      <c r="I107" s="344"/>
      <c r="J107" s="344"/>
      <c r="K107" s="344"/>
      <c r="L107" s="344"/>
      <c r="M107" s="344"/>
      <c r="N107" s="344"/>
      <c r="O107" s="344"/>
      <c r="P107" s="344"/>
      <c r="Q107" s="344"/>
      <c r="R107" s="344"/>
      <c r="S107" s="344"/>
    </row>
    <row r="108" customFormat="false" ht="13.2" hidden="false" customHeight="false" outlineLevel="0" collapsed="false">
      <c r="B108" s="344"/>
      <c r="C108" s="344"/>
      <c r="D108" s="344"/>
      <c r="E108" s="344"/>
      <c r="F108" s="344"/>
      <c r="G108" s="344"/>
      <c r="H108" s="344"/>
      <c r="I108" s="344"/>
      <c r="J108" s="344"/>
      <c r="K108" s="344"/>
      <c r="L108" s="344"/>
      <c r="M108" s="344"/>
      <c r="N108" s="344"/>
      <c r="O108" s="344"/>
      <c r="P108" s="344"/>
      <c r="Q108" s="344"/>
      <c r="R108" s="344"/>
      <c r="S108" s="344"/>
    </row>
    <row r="109" customFormat="false" ht="13.2" hidden="false" customHeight="false" outlineLevel="0" collapsed="false">
      <c r="B109" s="344"/>
      <c r="C109" s="344"/>
      <c r="D109" s="344"/>
      <c r="E109" s="344"/>
      <c r="F109" s="344"/>
      <c r="G109" s="344"/>
      <c r="H109" s="344"/>
      <c r="I109" s="344"/>
      <c r="J109" s="344"/>
      <c r="K109" s="344"/>
      <c r="L109" s="344"/>
      <c r="M109" s="344"/>
      <c r="N109" s="344"/>
      <c r="O109" s="344"/>
      <c r="P109" s="344"/>
      <c r="Q109" s="344"/>
      <c r="R109" s="344"/>
      <c r="S109" s="344"/>
    </row>
    <row r="110" customFormat="false" ht="13.2" hidden="false" customHeight="false" outlineLevel="0" collapsed="false">
      <c r="B110" s="344"/>
      <c r="C110" s="344"/>
      <c r="D110" s="344"/>
      <c r="E110" s="344"/>
      <c r="F110" s="344"/>
      <c r="G110" s="344"/>
      <c r="H110" s="344"/>
      <c r="I110" s="344"/>
      <c r="J110" s="344"/>
      <c r="K110" s="344"/>
      <c r="L110" s="344"/>
      <c r="M110" s="344"/>
      <c r="N110" s="344"/>
      <c r="O110" s="344"/>
      <c r="P110" s="344"/>
      <c r="Q110" s="344"/>
      <c r="R110" s="344"/>
      <c r="S110" s="344"/>
    </row>
    <row r="111" customFormat="false" ht="13.2" hidden="false" customHeight="false" outlineLevel="0" collapsed="false">
      <c r="B111" s="344"/>
      <c r="C111" s="344"/>
      <c r="D111" s="344"/>
      <c r="E111" s="344"/>
      <c r="F111" s="344"/>
      <c r="G111" s="344"/>
      <c r="H111" s="344"/>
      <c r="I111" s="344"/>
      <c r="J111" s="344"/>
      <c r="K111" s="344"/>
      <c r="L111" s="344"/>
      <c r="M111" s="344"/>
      <c r="N111" s="344"/>
      <c r="O111" s="344"/>
      <c r="P111" s="344"/>
      <c r="Q111" s="344"/>
      <c r="R111" s="344"/>
      <c r="S111" s="344"/>
    </row>
    <row r="112" customFormat="false" ht="13.2" hidden="false" customHeight="false" outlineLevel="0" collapsed="false">
      <c r="B112" s="344"/>
      <c r="C112" s="344"/>
      <c r="D112" s="344"/>
      <c r="E112" s="344"/>
      <c r="F112" s="344"/>
      <c r="G112" s="344"/>
      <c r="H112" s="344"/>
      <c r="I112" s="344"/>
      <c r="J112" s="344"/>
      <c r="K112" s="344"/>
      <c r="L112" s="344"/>
      <c r="M112" s="344"/>
      <c r="N112" s="344"/>
      <c r="O112" s="344"/>
      <c r="P112" s="344"/>
      <c r="Q112" s="344"/>
      <c r="R112" s="344"/>
      <c r="S112" s="344"/>
    </row>
    <row r="113" customFormat="false" ht="13.2" hidden="false" customHeight="false" outlineLevel="0" collapsed="false">
      <c r="B113" s="344"/>
      <c r="C113" s="344"/>
      <c r="D113" s="344"/>
      <c r="E113" s="344"/>
      <c r="F113" s="344"/>
      <c r="G113" s="344"/>
      <c r="H113" s="344"/>
      <c r="I113" s="344"/>
      <c r="J113" s="344"/>
      <c r="K113" s="344"/>
      <c r="L113" s="344"/>
      <c r="M113" s="344"/>
      <c r="N113" s="344"/>
      <c r="O113" s="344"/>
      <c r="P113" s="344"/>
      <c r="Q113" s="344"/>
      <c r="R113" s="344"/>
      <c r="S113" s="344"/>
    </row>
    <row r="114" customFormat="false" ht="13.2" hidden="false" customHeight="false" outlineLevel="0" collapsed="false">
      <c r="B114" s="344"/>
      <c r="C114" s="344"/>
      <c r="D114" s="344"/>
      <c r="E114" s="344"/>
      <c r="F114" s="344"/>
      <c r="G114" s="344"/>
      <c r="H114" s="344"/>
      <c r="I114" s="344"/>
      <c r="J114" s="344"/>
      <c r="K114" s="344"/>
      <c r="L114" s="344"/>
      <c r="M114" s="344"/>
      <c r="N114" s="344"/>
      <c r="O114" s="344"/>
      <c r="P114" s="344"/>
      <c r="Q114" s="344"/>
      <c r="R114" s="344"/>
      <c r="S114" s="344"/>
    </row>
    <row r="115" customFormat="false" ht="13.2" hidden="false" customHeight="false" outlineLevel="0" collapsed="false">
      <c r="B115" s="344"/>
      <c r="C115" s="344"/>
      <c r="D115" s="344"/>
      <c r="E115" s="344"/>
      <c r="F115" s="344"/>
      <c r="G115" s="344"/>
      <c r="H115" s="344"/>
      <c r="I115" s="344"/>
      <c r="J115" s="344"/>
      <c r="K115" s="344"/>
      <c r="L115" s="344"/>
      <c r="M115" s="344"/>
      <c r="N115" s="344"/>
      <c r="O115" s="344"/>
      <c r="P115" s="344"/>
      <c r="Q115" s="344"/>
      <c r="R115" s="344"/>
      <c r="S115" s="344"/>
    </row>
    <row r="116" customFormat="false" ht="13.2" hidden="false" customHeight="false" outlineLevel="0" collapsed="false">
      <c r="B116" s="344"/>
      <c r="C116" s="344"/>
      <c r="D116" s="344"/>
      <c r="E116" s="344"/>
      <c r="F116" s="344"/>
      <c r="G116" s="344"/>
      <c r="H116" s="344"/>
      <c r="I116" s="344"/>
      <c r="J116" s="344"/>
      <c r="K116" s="344"/>
      <c r="L116" s="344"/>
      <c r="M116" s="344"/>
      <c r="N116" s="344"/>
      <c r="O116" s="344"/>
      <c r="P116" s="344"/>
      <c r="Q116" s="344"/>
      <c r="R116" s="344"/>
      <c r="S116" s="344"/>
    </row>
    <row r="117" customFormat="false" ht="13.2" hidden="false" customHeight="false" outlineLevel="0" collapsed="false">
      <c r="B117" s="344"/>
      <c r="C117" s="344"/>
      <c r="D117" s="344"/>
      <c r="E117" s="344"/>
      <c r="F117" s="344"/>
      <c r="G117" s="344"/>
      <c r="H117" s="344"/>
      <c r="I117" s="344"/>
      <c r="J117" s="344"/>
      <c r="K117" s="344"/>
      <c r="L117" s="344"/>
      <c r="M117" s="344"/>
      <c r="N117" s="344"/>
      <c r="O117" s="344"/>
      <c r="P117" s="344"/>
      <c r="Q117" s="344"/>
      <c r="R117" s="344"/>
      <c r="S117" s="344"/>
    </row>
    <row r="118" customFormat="false" ht="13.2" hidden="false" customHeight="false" outlineLevel="0" collapsed="false">
      <c r="B118" s="344"/>
      <c r="C118" s="344"/>
      <c r="D118" s="344"/>
      <c r="E118" s="344"/>
      <c r="F118" s="344"/>
      <c r="G118" s="344"/>
      <c r="H118" s="344"/>
      <c r="I118" s="344"/>
      <c r="J118" s="344"/>
      <c r="K118" s="344"/>
      <c r="L118" s="344"/>
      <c r="M118" s="344"/>
      <c r="N118" s="344"/>
      <c r="O118" s="344"/>
      <c r="P118" s="344"/>
      <c r="Q118" s="344"/>
      <c r="R118" s="344"/>
      <c r="S118" s="344"/>
    </row>
    <row r="119" customFormat="false" ht="13.2" hidden="false" customHeight="false" outlineLevel="0" collapsed="false">
      <c r="B119" s="344"/>
      <c r="C119" s="344"/>
      <c r="D119" s="344"/>
      <c r="E119" s="344"/>
      <c r="F119" s="344"/>
      <c r="G119" s="344"/>
      <c r="H119" s="344"/>
      <c r="I119" s="344"/>
      <c r="J119" s="344"/>
      <c r="K119" s="344"/>
      <c r="L119" s="344"/>
      <c r="M119" s="344"/>
      <c r="N119" s="344"/>
      <c r="O119" s="344"/>
      <c r="P119" s="344"/>
      <c r="Q119" s="344"/>
      <c r="R119" s="344"/>
      <c r="S119" s="344"/>
    </row>
    <row r="120" customFormat="false" ht="13.2" hidden="false" customHeight="false" outlineLevel="0" collapsed="false">
      <c r="B120" s="344"/>
      <c r="C120" s="344"/>
      <c r="D120" s="344"/>
      <c r="E120" s="344"/>
      <c r="F120" s="344"/>
      <c r="G120" s="344"/>
      <c r="H120" s="344"/>
      <c r="I120" s="344"/>
      <c r="J120" s="344"/>
      <c r="K120" s="344"/>
      <c r="L120" s="344"/>
      <c r="M120" s="344"/>
      <c r="N120" s="344"/>
      <c r="O120" s="344"/>
      <c r="P120" s="344"/>
      <c r="Q120" s="344"/>
      <c r="R120" s="344"/>
      <c r="S120" s="344"/>
    </row>
    <row r="121" customFormat="false" ht="13.2" hidden="false" customHeight="false" outlineLevel="0" collapsed="false">
      <c r="B121" s="344"/>
      <c r="C121" s="344"/>
      <c r="D121" s="344"/>
      <c r="E121" s="344"/>
      <c r="F121" s="344"/>
      <c r="G121" s="344"/>
      <c r="H121" s="344"/>
      <c r="I121" s="344"/>
      <c r="J121" s="344"/>
      <c r="K121" s="344"/>
      <c r="L121" s="344"/>
      <c r="M121" s="344"/>
      <c r="N121" s="344"/>
      <c r="O121" s="344"/>
      <c r="P121" s="344"/>
      <c r="Q121" s="344"/>
      <c r="R121" s="344"/>
      <c r="S121" s="344"/>
    </row>
    <row r="122" customFormat="false" ht="13.2" hidden="false" customHeight="false" outlineLevel="0" collapsed="false">
      <c r="B122" s="344"/>
      <c r="C122" s="344"/>
      <c r="D122" s="344"/>
      <c r="E122" s="344"/>
      <c r="F122" s="344"/>
      <c r="G122" s="344"/>
      <c r="H122" s="344"/>
      <c r="I122" s="344"/>
      <c r="J122" s="344"/>
      <c r="K122" s="344"/>
      <c r="L122" s="344"/>
      <c r="M122" s="344"/>
      <c r="N122" s="344"/>
      <c r="O122" s="344"/>
      <c r="P122" s="344"/>
      <c r="Q122" s="344"/>
      <c r="R122" s="344"/>
      <c r="S122" s="344"/>
    </row>
    <row r="123" customFormat="false" ht="13.2" hidden="false" customHeight="false" outlineLevel="0" collapsed="false">
      <c r="B123" s="344"/>
      <c r="C123" s="344"/>
      <c r="D123" s="344"/>
      <c r="E123" s="344"/>
      <c r="F123" s="344"/>
      <c r="G123" s="344"/>
      <c r="H123" s="344"/>
      <c r="I123" s="344"/>
      <c r="J123" s="344"/>
      <c r="K123" s="344"/>
      <c r="L123" s="344"/>
      <c r="M123" s="344"/>
      <c r="N123" s="344"/>
      <c r="O123" s="344"/>
      <c r="P123" s="344"/>
      <c r="Q123" s="344"/>
      <c r="R123" s="344"/>
      <c r="S123" s="344"/>
    </row>
    <row r="124" customFormat="false" ht="13.2" hidden="false" customHeight="false" outlineLevel="0" collapsed="false">
      <c r="B124" s="344"/>
      <c r="C124" s="344"/>
      <c r="D124" s="344"/>
      <c r="E124" s="344"/>
      <c r="F124" s="344"/>
      <c r="G124" s="344"/>
      <c r="H124" s="344"/>
      <c r="I124" s="344"/>
      <c r="J124" s="344"/>
      <c r="K124" s="344"/>
      <c r="L124" s="344"/>
      <c r="M124" s="344"/>
      <c r="N124" s="344"/>
      <c r="O124" s="344"/>
      <c r="P124" s="344"/>
      <c r="Q124" s="344"/>
      <c r="R124" s="344"/>
      <c r="S124" s="344"/>
    </row>
    <row r="125" customFormat="false" ht="13.2" hidden="false" customHeight="false" outlineLevel="0" collapsed="false">
      <c r="B125" s="344"/>
      <c r="C125" s="344"/>
      <c r="D125" s="344"/>
      <c r="E125" s="344"/>
      <c r="F125" s="344"/>
      <c r="G125" s="344"/>
      <c r="H125" s="344"/>
      <c r="I125" s="344"/>
      <c r="J125" s="344"/>
      <c r="K125" s="344"/>
      <c r="L125" s="344"/>
      <c r="M125" s="344"/>
      <c r="N125" s="344"/>
      <c r="O125" s="344"/>
      <c r="P125" s="344"/>
      <c r="Q125" s="344"/>
      <c r="R125" s="344"/>
      <c r="S125" s="344"/>
    </row>
    <row r="126" customFormat="false" ht="13.2" hidden="false" customHeight="false" outlineLevel="0" collapsed="false">
      <c r="B126" s="344"/>
      <c r="C126" s="344"/>
      <c r="D126" s="344"/>
      <c r="E126" s="344"/>
      <c r="F126" s="344"/>
      <c r="G126" s="344"/>
      <c r="H126" s="344"/>
      <c r="I126" s="344"/>
      <c r="J126" s="344"/>
      <c r="K126" s="344"/>
      <c r="L126" s="344"/>
      <c r="M126" s="344"/>
      <c r="N126" s="344"/>
      <c r="O126" s="344"/>
      <c r="P126" s="344"/>
      <c r="Q126" s="344"/>
      <c r="R126" s="344"/>
      <c r="S126" s="344"/>
    </row>
    <row r="127" customFormat="false" ht="13.2" hidden="false" customHeight="false" outlineLevel="0" collapsed="false">
      <c r="B127" s="344"/>
      <c r="C127" s="344"/>
      <c r="D127" s="344"/>
      <c r="E127" s="344"/>
      <c r="F127" s="344"/>
      <c r="G127" s="344"/>
      <c r="H127" s="344"/>
      <c r="I127" s="344"/>
      <c r="J127" s="344"/>
      <c r="K127" s="344"/>
      <c r="L127" s="344"/>
      <c r="M127" s="344"/>
      <c r="N127" s="344"/>
      <c r="O127" s="344"/>
      <c r="P127" s="344"/>
      <c r="Q127" s="344"/>
      <c r="R127" s="344"/>
      <c r="S127" s="344"/>
    </row>
    <row r="128" customFormat="false" ht="13.2" hidden="false" customHeight="false" outlineLevel="0" collapsed="false">
      <c r="B128" s="344"/>
      <c r="C128" s="344"/>
      <c r="D128" s="344"/>
      <c r="E128" s="344"/>
      <c r="F128" s="344"/>
      <c r="G128" s="344"/>
      <c r="H128" s="344"/>
      <c r="I128" s="344"/>
      <c r="J128" s="344"/>
      <c r="K128" s="344"/>
      <c r="L128" s="344"/>
      <c r="M128" s="344"/>
      <c r="N128" s="344"/>
      <c r="O128" s="344"/>
      <c r="P128" s="344"/>
      <c r="Q128" s="344"/>
      <c r="R128" s="344"/>
      <c r="S128" s="344"/>
    </row>
    <row r="129" customFormat="false" ht="13.2" hidden="false" customHeight="false" outlineLevel="0" collapsed="false">
      <c r="B129" s="344"/>
      <c r="C129" s="344"/>
      <c r="D129" s="344"/>
      <c r="E129" s="344"/>
      <c r="F129" s="344"/>
      <c r="G129" s="344"/>
      <c r="H129" s="344"/>
      <c r="I129" s="344"/>
      <c r="J129" s="344"/>
      <c r="K129" s="344"/>
      <c r="L129" s="344"/>
      <c r="M129" s="344"/>
      <c r="N129" s="344"/>
      <c r="O129" s="344"/>
      <c r="P129" s="344"/>
      <c r="Q129" s="344"/>
      <c r="R129" s="344"/>
      <c r="S129" s="344"/>
    </row>
    <row r="130" customFormat="false" ht="13.2" hidden="false" customHeight="false" outlineLevel="0" collapsed="false">
      <c r="B130" s="344"/>
      <c r="C130" s="344"/>
      <c r="D130" s="344"/>
      <c r="E130" s="344"/>
      <c r="F130" s="344"/>
      <c r="G130" s="344"/>
      <c r="H130" s="344"/>
      <c r="I130" s="344"/>
      <c r="J130" s="344"/>
      <c r="K130" s="344"/>
      <c r="L130" s="344"/>
      <c r="M130" s="344"/>
      <c r="N130" s="344"/>
      <c r="O130" s="344"/>
      <c r="P130" s="344"/>
      <c r="Q130" s="344"/>
      <c r="R130" s="344"/>
      <c r="S130" s="344"/>
    </row>
    <row r="131" customFormat="false" ht="13.2" hidden="false" customHeight="false" outlineLevel="0" collapsed="false">
      <c r="B131" s="344"/>
      <c r="C131" s="344"/>
      <c r="D131" s="344"/>
      <c r="E131" s="344"/>
      <c r="F131" s="344"/>
      <c r="G131" s="344"/>
      <c r="H131" s="344"/>
      <c r="I131" s="344"/>
      <c r="J131" s="344"/>
      <c r="K131" s="344"/>
      <c r="L131" s="344"/>
      <c r="M131" s="344"/>
      <c r="N131" s="344"/>
      <c r="O131" s="344"/>
      <c r="P131" s="344"/>
      <c r="Q131" s="344"/>
      <c r="R131" s="344"/>
      <c r="S131" s="344"/>
    </row>
    <row r="132" customFormat="false" ht="13.2" hidden="false" customHeight="false" outlineLevel="0" collapsed="false">
      <c r="B132" s="344"/>
      <c r="C132" s="344"/>
      <c r="D132" s="344"/>
      <c r="E132" s="344"/>
      <c r="F132" s="344"/>
      <c r="G132" s="344"/>
      <c r="H132" s="344"/>
      <c r="I132" s="344"/>
      <c r="J132" s="344"/>
      <c r="K132" s="344"/>
      <c r="L132" s="344"/>
      <c r="M132" s="344"/>
      <c r="N132" s="344"/>
      <c r="O132" s="344"/>
      <c r="P132" s="344"/>
      <c r="Q132" s="344"/>
      <c r="R132" s="344"/>
      <c r="S132" s="344"/>
    </row>
    <row r="133" customFormat="false" ht="13.2" hidden="false" customHeight="false" outlineLevel="0" collapsed="false">
      <c r="B133" s="344"/>
      <c r="C133" s="344"/>
      <c r="D133" s="344"/>
      <c r="E133" s="344"/>
      <c r="F133" s="344"/>
      <c r="G133" s="344"/>
      <c r="H133" s="344"/>
      <c r="I133" s="344"/>
      <c r="J133" s="344"/>
      <c r="K133" s="344"/>
      <c r="L133" s="344"/>
      <c r="M133" s="344"/>
      <c r="N133" s="344"/>
      <c r="O133" s="344"/>
      <c r="P133" s="344"/>
      <c r="Q133" s="344"/>
      <c r="R133" s="344"/>
      <c r="S133" s="344"/>
    </row>
    <row r="134" customFormat="false" ht="13.2" hidden="false" customHeight="false" outlineLevel="0" collapsed="false">
      <c r="B134" s="344"/>
      <c r="C134" s="344"/>
      <c r="D134" s="344"/>
      <c r="E134" s="344"/>
      <c r="F134" s="344"/>
      <c r="G134" s="344"/>
      <c r="H134" s="344"/>
      <c r="I134" s="344"/>
      <c r="J134" s="344"/>
      <c r="K134" s="344"/>
      <c r="L134" s="344"/>
      <c r="M134" s="344"/>
      <c r="N134" s="344"/>
      <c r="O134" s="344"/>
      <c r="P134" s="344"/>
      <c r="Q134" s="344"/>
      <c r="R134" s="344"/>
      <c r="S134" s="344"/>
    </row>
    <row r="135" customFormat="false" ht="13.2" hidden="false" customHeight="false" outlineLevel="0" collapsed="false">
      <c r="B135" s="344"/>
      <c r="C135" s="344"/>
      <c r="D135" s="344"/>
      <c r="E135" s="344"/>
      <c r="F135" s="344"/>
      <c r="G135" s="344"/>
      <c r="H135" s="344"/>
      <c r="I135" s="344"/>
      <c r="J135" s="344"/>
      <c r="K135" s="344"/>
      <c r="L135" s="344"/>
      <c r="M135" s="344"/>
      <c r="N135" s="344"/>
      <c r="O135" s="344"/>
      <c r="P135" s="344"/>
      <c r="Q135" s="344"/>
      <c r="R135" s="344"/>
      <c r="S135" s="344"/>
    </row>
    <row r="136" customFormat="false" ht="13.2" hidden="false" customHeight="false" outlineLevel="0" collapsed="false">
      <c r="B136" s="344"/>
      <c r="C136" s="344"/>
      <c r="D136" s="344"/>
      <c r="E136" s="344"/>
      <c r="F136" s="344"/>
      <c r="G136" s="344"/>
      <c r="H136" s="344"/>
      <c r="I136" s="344"/>
      <c r="J136" s="344"/>
      <c r="K136" s="344"/>
      <c r="L136" s="344"/>
      <c r="M136" s="344"/>
      <c r="N136" s="344"/>
      <c r="O136" s="344"/>
      <c r="P136" s="344"/>
      <c r="Q136" s="344"/>
      <c r="R136" s="344"/>
      <c r="S136" s="344"/>
    </row>
    <row r="137" customFormat="false" ht="13.2" hidden="false" customHeight="false" outlineLevel="0" collapsed="false">
      <c r="B137" s="344"/>
      <c r="C137" s="344"/>
      <c r="D137" s="344"/>
      <c r="E137" s="344"/>
      <c r="F137" s="344"/>
      <c r="G137" s="344"/>
      <c r="H137" s="344"/>
      <c r="I137" s="344"/>
      <c r="J137" s="344"/>
      <c r="K137" s="344"/>
      <c r="L137" s="344"/>
      <c r="M137" s="344"/>
      <c r="N137" s="344"/>
      <c r="O137" s="344"/>
      <c r="P137" s="344"/>
      <c r="Q137" s="344"/>
      <c r="R137" s="344"/>
      <c r="S137" s="344"/>
    </row>
    <row r="138" customFormat="false" ht="13.2" hidden="false" customHeight="false" outlineLevel="0" collapsed="false">
      <c r="B138" s="344"/>
      <c r="C138" s="344"/>
      <c r="D138" s="344"/>
      <c r="E138" s="344"/>
      <c r="F138" s="344"/>
      <c r="G138" s="344"/>
      <c r="H138" s="344"/>
      <c r="I138" s="344"/>
      <c r="J138" s="344"/>
      <c r="K138" s="344"/>
      <c r="L138" s="344"/>
      <c r="M138" s="344"/>
      <c r="N138" s="344"/>
      <c r="O138" s="344"/>
      <c r="P138" s="344"/>
      <c r="Q138" s="344"/>
      <c r="R138" s="344"/>
      <c r="S138" s="344"/>
    </row>
    <row r="139" customFormat="false" ht="13.2" hidden="false" customHeight="false" outlineLevel="0" collapsed="false">
      <c r="B139" s="344"/>
      <c r="C139" s="344"/>
      <c r="D139" s="344"/>
      <c r="E139" s="344"/>
      <c r="F139" s="344"/>
      <c r="G139" s="344"/>
      <c r="H139" s="344"/>
      <c r="I139" s="344"/>
      <c r="J139" s="344"/>
      <c r="K139" s="344"/>
      <c r="L139" s="344"/>
      <c r="M139" s="344"/>
      <c r="N139" s="344"/>
      <c r="O139" s="344"/>
      <c r="P139" s="344"/>
      <c r="Q139" s="344"/>
      <c r="R139" s="344"/>
      <c r="S139" s="344"/>
    </row>
  </sheetData>
  <mergeCells count="4">
    <mergeCell ref="P16:Q16"/>
    <mergeCell ref="P42:Q42"/>
    <mergeCell ref="P50:Q50"/>
    <mergeCell ref="P85:Q85"/>
  </mergeCells>
  <printOptions headings="false" gridLines="false" gridLinesSet="true" horizontalCentered="false" verticalCentered="false"/>
  <pageMargins left="0.170138888888889" right="0.559722222222222" top="0.479861111111111" bottom="0.479861111111111" header="0.2" footer="0.25"/>
  <pageSetup paperSize="1" scale="100" fitToWidth="1" fitToHeight="1" pageOrder="downThenOver" orientation="portrait" blackAndWhite="false" draft="false" cellComments="none" horizontalDpi="300" verticalDpi="300" copies="1"/>
  <headerFooter differentFirst="false" differentOddEven="false">
    <oddHeader>&amp;L&amp;"Arial,Bold"&amp;12Doyle Power, LCC - Principal Insured&amp;RThru: &amp;D
Page &amp;P</oddHeader>
    <oddFooter>&amp;L&amp;F&amp;R&amp;A</oddFooter>
  </headerFooter>
  <rowBreaks count="1" manualBreakCount="1">
    <brk id="43" man="true" max="16383" min="0"/>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39"/>
  <sheetViews>
    <sheetView showFormulas="false" showGridLines="true" showRowColHeaders="true" showZeros="true" rightToLeft="false" tabSelected="false" showOutlineSymbols="true" defaultGridColor="true" view="pageBreakPreview" topLeftCell="A1" colorId="64" zoomScale="75" zoomScaleNormal="75" zoomScalePageLayoutView="75" workbookViewId="0">
      <selection pane="topLeft" activeCell="A1" activeCellId="0" sqref="A1"/>
    </sheetView>
  </sheetViews>
  <sheetFormatPr defaultColWidth="10.328125" defaultRowHeight="13.2" customHeight="true" zeroHeight="false" outlineLevelRow="0" outlineLevelCol="0"/>
  <cols>
    <col collapsed="false" customWidth="true" hidden="false" outlineLevel="0" max="1" min="1" style="302" width="8.87"/>
    <col collapsed="false" customWidth="true" hidden="false" outlineLevel="0" max="2" min="2" style="37" width="5.87"/>
    <col collapsed="false" customWidth="true" hidden="false" outlineLevel="0" max="4" min="3" style="37" width="5.21"/>
    <col collapsed="false" customWidth="true" hidden="false" outlineLevel="0" max="7" min="5" style="37" width="3.99"/>
    <col collapsed="false" customWidth="true" hidden="false" outlineLevel="0" max="14" min="8" style="38" width="3.99"/>
    <col collapsed="false" customWidth="true" hidden="false" outlineLevel="0" max="15" min="15" style="37" width="7.66"/>
    <col collapsed="false" customWidth="true" hidden="false" outlineLevel="0" max="16" min="16" style="38" width="13.21"/>
    <col collapsed="false" customWidth="true" hidden="false" outlineLevel="0" max="17" min="17" style="38" width="6.66"/>
    <col collapsed="false" customWidth="true" hidden="false" outlineLevel="0" max="25" min="18" style="38" width="3.99"/>
    <col collapsed="false" customWidth="false" hidden="false" outlineLevel="0" max="29" min="26" style="38" width="10.32"/>
    <col collapsed="false" customWidth="true" hidden="false" outlineLevel="0" max="30" min="30" style="38" width="4.43"/>
    <col collapsed="false" customWidth="false" hidden="false" outlineLevel="0" max="257" min="31" style="38" width="10.32"/>
  </cols>
  <sheetData>
    <row r="1" customFormat="false" ht="15.6" hidden="false" customHeight="false" outlineLevel="0" collapsed="false">
      <c r="D1" s="41" t="s">
        <v>99</v>
      </c>
      <c r="E1" s="41"/>
      <c r="F1" s="41"/>
      <c r="G1" s="41"/>
      <c r="H1" s="41"/>
      <c r="O1" s="42" t="s">
        <v>574</v>
      </c>
    </row>
    <row r="2" customFormat="false" ht="13.2" hidden="false" customHeight="false" outlineLevel="0" collapsed="false">
      <c r="D2" s="38" t="s">
        <v>25</v>
      </c>
      <c r="E2" s="38"/>
      <c r="F2" s="38"/>
      <c r="G2" s="38"/>
      <c r="O2" s="38" t="s">
        <v>575</v>
      </c>
    </row>
    <row r="3" customFormat="false" ht="4.95" hidden="false" customHeight="true" outlineLevel="0" collapsed="false">
      <c r="D3" s="38"/>
      <c r="E3" s="38"/>
      <c r="F3" s="38"/>
      <c r="G3" s="38"/>
      <c r="O3" s="38"/>
    </row>
    <row r="4" customFormat="false" ht="84.6" hidden="false" customHeight="true" outlineLevel="0" collapsed="false">
      <c r="A4" s="349" t="s">
        <v>576</v>
      </c>
      <c r="B4" s="342" t="s">
        <v>577</v>
      </c>
      <c r="C4" s="342" t="s">
        <v>578</v>
      </c>
      <c r="D4" s="342" t="s">
        <v>579</v>
      </c>
      <c r="E4" s="342" t="s">
        <v>580</v>
      </c>
      <c r="F4" s="342" t="s">
        <v>581</v>
      </c>
      <c r="G4" s="342" t="s">
        <v>582</v>
      </c>
      <c r="H4" s="342" t="s">
        <v>583</v>
      </c>
      <c r="I4" s="342" t="s">
        <v>584</v>
      </c>
      <c r="J4" s="342" t="s">
        <v>585</v>
      </c>
      <c r="K4" s="342"/>
      <c r="L4" s="342"/>
      <c r="M4" s="342"/>
      <c r="N4" s="64"/>
      <c r="O4" s="342" t="s">
        <v>567</v>
      </c>
      <c r="P4" s="349" t="s">
        <v>586</v>
      </c>
      <c r="Q4" s="342" t="s">
        <v>456</v>
      </c>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row>
    <row r="5" customFormat="false" ht="13.2" hidden="false" customHeight="false" outlineLevel="0" collapsed="false">
      <c r="A5" s="302" t="n">
        <v>36690</v>
      </c>
      <c r="B5" s="344" t="n">
        <v>12</v>
      </c>
      <c r="C5" s="350" t="n">
        <v>12.5</v>
      </c>
      <c r="D5" s="350" t="n">
        <v>12.5</v>
      </c>
      <c r="E5" s="344"/>
      <c r="F5" s="344"/>
      <c r="G5" s="344"/>
      <c r="H5" s="344"/>
      <c r="I5" s="344"/>
      <c r="J5" s="344"/>
      <c r="K5" s="344"/>
      <c r="L5" s="344"/>
      <c r="M5" s="344"/>
      <c r="N5" s="344"/>
      <c r="O5" s="344"/>
      <c r="P5" s="344"/>
      <c r="Q5" s="344"/>
      <c r="R5" s="344"/>
      <c r="S5" s="344"/>
    </row>
    <row r="6" customFormat="false" ht="13.2" hidden="false" customHeight="false" outlineLevel="0" collapsed="false">
      <c r="A6" s="302" t="n">
        <v>36691</v>
      </c>
      <c r="B6" s="344" t="n">
        <v>12</v>
      </c>
      <c r="C6" s="350" t="n">
        <v>12.5</v>
      </c>
      <c r="D6" s="350" t="n">
        <v>12.5</v>
      </c>
      <c r="E6" s="344"/>
      <c r="F6" s="344"/>
      <c r="G6" s="344"/>
      <c r="H6" s="344"/>
      <c r="I6" s="344"/>
      <c r="J6" s="344"/>
      <c r="K6" s="344"/>
      <c r="L6" s="344"/>
      <c r="M6" s="344"/>
      <c r="N6" s="344"/>
      <c r="O6" s="344"/>
      <c r="P6" s="344"/>
      <c r="Q6" s="344"/>
      <c r="R6" s="344"/>
      <c r="S6" s="344"/>
    </row>
    <row r="7" customFormat="false" ht="13.2" hidden="false" customHeight="false" outlineLevel="0" collapsed="false">
      <c r="A7" s="302" t="n">
        <v>36692</v>
      </c>
      <c r="B7" s="344" t="n">
        <v>12</v>
      </c>
      <c r="C7" s="350" t="n">
        <v>12.5</v>
      </c>
      <c r="D7" s="350" t="n">
        <v>12.5</v>
      </c>
      <c r="E7" s="344"/>
      <c r="F7" s="344"/>
      <c r="G7" s="344"/>
      <c r="H7" s="344"/>
      <c r="I7" s="344"/>
      <c r="J7" s="344"/>
      <c r="K7" s="344"/>
      <c r="L7" s="344"/>
      <c r="M7" s="344"/>
      <c r="N7" s="344"/>
      <c r="O7" s="344"/>
      <c r="P7" s="344"/>
      <c r="Q7" s="344"/>
      <c r="R7" s="344"/>
      <c r="S7" s="344"/>
    </row>
    <row r="8" customFormat="false" ht="13.2" hidden="false" customHeight="false" outlineLevel="0" collapsed="false">
      <c r="A8" s="302" t="n">
        <v>36693</v>
      </c>
      <c r="B8" s="344" t="n">
        <v>12</v>
      </c>
      <c r="C8" s="350" t="n">
        <v>12.5</v>
      </c>
      <c r="D8" s="350" t="n">
        <v>12.5</v>
      </c>
      <c r="E8" s="344"/>
      <c r="F8" s="344"/>
      <c r="G8" s="344"/>
      <c r="H8" s="344"/>
      <c r="I8" s="344"/>
      <c r="J8" s="344"/>
      <c r="K8" s="344"/>
      <c r="L8" s="344"/>
      <c r="M8" s="344"/>
      <c r="N8" s="344"/>
      <c r="O8" s="344"/>
      <c r="P8" s="344"/>
      <c r="Q8" s="344"/>
      <c r="R8" s="344"/>
      <c r="S8" s="344"/>
    </row>
    <row r="9" customFormat="false" ht="13.2" hidden="false" customHeight="false" outlineLevel="0" collapsed="false">
      <c r="A9" s="302" t="n">
        <v>36694</v>
      </c>
      <c r="B9" s="344" t="n">
        <v>12</v>
      </c>
      <c r="C9" s="350" t="n">
        <v>12.5</v>
      </c>
      <c r="D9" s="350" t="n">
        <v>12.5</v>
      </c>
      <c r="E9" s="344"/>
      <c r="F9" s="344"/>
      <c r="G9" s="344"/>
      <c r="H9" s="344"/>
      <c r="I9" s="344"/>
      <c r="J9" s="344"/>
      <c r="K9" s="344"/>
      <c r="L9" s="344"/>
      <c r="M9" s="344"/>
      <c r="N9" s="344"/>
      <c r="O9" s="344"/>
      <c r="P9" s="344"/>
      <c r="Q9" s="344"/>
      <c r="R9" s="344"/>
      <c r="S9" s="344"/>
    </row>
    <row r="10" customFormat="false" ht="13.2" hidden="false" customHeight="false" outlineLevel="0" collapsed="false">
      <c r="A10" s="302" t="n">
        <v>36695</v>
      </c>
      <c r="B10" s="344" t="n">
        <v>12</v>
      </c>
      <c r="C10" s="350" t="n">
        <v>12.5</v>
      </c>
      <c r="D10" s="350" t="n">
        <v>12.5</v>
      </c>
      <c r="E10" s="344"/>
      <c r="F10" s="344"/>
      <c r="G10" s="344"/>
      <c r="H10" s="344"/>
      <c r="I10" s="344"/>
      <c r="J10" s="344"/>
      <c r="K10" s="344"/>
      <c r="L10" s="344"/>
      <c r="M10" s="344"/>
      <c r="N10" s="344"/>
      <c r="O10" s="344"/>
      <c r="P10" s="344"/>
      <c r="Q10" s="344"/>
      <c r="R10" s="344"/>
      <c r="S10" s="344"/>
    </row>
    <row r="11" customFormat="false" ht="13.2" hidden="false" customHeight="false" outlineLevel="0" collapsed="false">
      <c r="A11" s="302" t="s">
        <v>569</v>
      </c>
      <c r="B11" s="346" t="n">
        <f aca="false">SUM(B5:B10)</f>
        <v>72</v>
      </c>
      <c r="C11" s="346" t="n">
        <f aca="false">SUM(C5:C10)</f>
        <v>75</v>
      </c>
      <c r="D11" s="346" t="n">
        <f aca="false">SUM(D5:D10)</f>
        <v>75</v>
      </c>
      <c r="E11" s="344" t="n">
        <f aca="false">SUM(E5:E10)</f>
        <v>0</v>
      </c>
      <c r="F11" s="344" t="n">
        <f aca="false">SUM(F5:F10)</f>
        <v>0</v>
      </c>
      <c r="G11" s="344"/>
      <c r="H11" s="344"/>
      <c r="I11" s="344"/>
      <c r="J11" s="344"/>
      <c r="K11" s="344"/>
      <c r="L11" s="344"/>
      <c r="M11" s="344"/>
      <c r="N11" s="344"/>
      <c r="O11" s="344" t="n">
        <f aca="false">SUM(B11:N11)</f>
        <v>222</v>
      </c>
      <c r="P11" s="344"/>
      <c r="Q11" s="346" t="n">
        <f aca="false">SUM(O11)</f>
        <v>222</v>
      </c>
      <c r="R11" s="344"/>
      <c r="S11" s="344"/>
    </row>
    <row r="12" customFormat="false" ht="13.2" hidden="false" customHeight="false" outlineLevel="0" collapsed="false">
      <c r="A12" s="302" t="n">
        <v>36696</v>
      </c>
      <c r="B12" s="346" t="n">
        <v>12</v>
      </c>
      <c r="C12" s="351" t="n">
        <v>12.5</v>
      </c>
      <c r="D12" s="351" t="n">
        <v>12.5</v>
      </c>
      <c r="E12" s="344"/>
      <c r="F12" s="344"/>
      <c r="G12" s="344"/>
      <c r="H12" s="344"/>
      <c r="I12" s="344"/>
      <c r="J12" s="344"/>
      <c r="K12" s="344"/>
      <c r="L12" s="344"/>
      <c r="M12" s="344"/>
      <c r="N12" s="344"/>
      <c r="O12" s="344"/>
      <c r="P12" s="344"/>
      <c r="Q12" s="344"/>
      <c r="R12" s="344"/>
      <c r="S12" s="344"/>
    </row>
    <row r="13" customFormat="false" ht="13.2" hidden="false" customHeight="false" outlineLevel="0" collapsed="false">
      <c r="A13" s="302" t="n">
        <v>36697</v>
      </c>
      <c r="B13" s="346" t="n">
        <v>12</v>
      </c>
      <c r="C13" s="351" t="n">
        <v>12.5</v>
      </c>
      <c r="D13" s="351" t="n">
        <v>12.5</v>
      </c>
      <c r="E13" s="344"/>
      <c r="F13" s="344"/>
      <c r="G13" s="344"/>
      <c r="H13" s="344"/>
      <c r="I13" s="344"/>
      <c r="J13" s="344"/>
      <c r="K13" s="344"/>
      <c r="L13" s="344"/>
      <c r="M13" s="344"/>
      <c r="N13" s="344"/>
      <c r="O13" s="344"/>
      <c r="P13" s="344"/>
      <c r="Q13" s="344"/>
      <c r="R13" s="344"/>
      <c r="S13" s="344"/>
    </row>
    <row r="14" customFormat="false" ht="13.2" hidden="false" customHeight="false" outlineLevel="0" collapsed="false">
      <c r="A14" s="302" t="n">
        <v>36698</v>
      </c>
      <c r="B14" s="346" t="n">
        <v>12</v>
      </c>
      <c r="C14" s="351" t="n">
        <v>12.5</v>
      </c>
      <c r="D14" s="351" t="n">
        <v>12.5</v>
      </c>
      <c r="E14" s="344"/>
      <c r="F14" s="344"/>
      <c r="G14" s="344"/>
      <c r="H14" s="344"/>
      <c r="I14" s="344"/>
      <c r="J14" s="344"/>
      <c r="K14" s="344"/>
      <c r="L14" s="344"/>
      <c r="M14" s="344"/>
      <c r="N14" s="344"/>
      <c r="O14" s="344"/>
      <c r="P14" s="344"/>
      <c r="Q14" s="344"/>
      <c r="R14" s="344"/>
      <c r="S14" s="344"/>
    </row>
    <row r="15" customFormat="false" ht="13.2" hidden="false" customHeight="false" outlineLevel="0" collapsed="false">
      <c r="A15" s="302" t="n">
        <v>36699</v>
      </c>
      <c r="B15" s="346" t="n">
        <v>12</v>
      </c>
      <c r="C15" s="351" t="n">
        <v>12.5</v>
      </c>
      <c r="D15" s="351" t="n">
        <v>12.5</v>
      </c>
      <c r="E15" s="344"/>
      <c r="F15" s="344"/>
      <c r="G15" s="344"/>
      <c r="H15" s="344"/>
      <c r="I15" s="344"/>
      <c r="J15" s="344"/>
      <c r="K15" s="344"/>
      <c r="L15" s="344"/>
      <c r="M15" s="344"/>
      <c r="N15" s="344"/>
      <c r="O15" s="344"/>
      <c r="P15" s="344"/>
      <c r="Q15" s="344"/>
      <c r="R15" s="344"/>
      <c r="S15" s="344"/>
    </row>
    <row r="16" customFormat="false" ht="13.2" hidden="false" customHeight="false" outlineLevel="0" collapsed="false">
      <c r="A16" s="302" t="n">
        <v>36700</v>
      </c>
      <c r="B16" s="346" t="n">
        <v>12</v>
      </c>
      <c r="C16" s="351" t="n">
        <v>12.5</v>
      </c>
      <c r="D16" s="351" t="n">
        <v>12.5</v>
      </c>
      <c r="E16" s="344"/>
      <c r="F16" s="344"/>
      <c r="G16" s="344"/>
      <c r="H16" s="344"/>
      <c r="I16" s="344"/>
      <c r="J16" s="344"/>
      <c r="K16" s="344"/>
      <c r="L16" s="344"/>
      <c r="M16" s="344"/>
      <c r="N16" s="344"/>
      <c r="O16" s="344"/>
      <c r="P16" s="344"/>
      <c r="Q16" s="346" t="n">
        <f aca="false">SUM(B12:D16)</f>
        <v>185</v>
      </c>
      <c r="R16" s="344"/>
      <c r="S16" s="344"/>
    </row>
    <row r="17" customFormat="false" ht="13.2" hidden="false" customHeight="false" outlineLevel="0" collapsed="false">
      <c r="A17" s="302" t="n">
        <v>36701</v>
      </c>
      <c r="B17" s="344" t="n">
        <v>12</v>
      </c>
      <c r="C17" s="350" t="n">
        <v>12.5</v>
      </c>
      <c r="D17" s="350" t="n">
        <v>12.5</v>
      </c>
      <c r="E17" s="344"/>
      <c r="F17" s="344"/>
      <c r="G17" s="344"/>
      <c r="H17" s="344"/>
      <c r="I17" s="344"/>
      <c r="J17" s="344"/>
      <c r="K17" s="344"/>
      <c r="L17" s="344"/>
      <c r="M17" s="344"/>
      <c r="N17" s="344"/>
      <c r="O17" s="344"/>
      <c r="P17" s="344"/>
      <c r="Q17" s="344"/>
      <c r="R17" s="344"/>
      <c r="S17" s="344"/>
    </row>
    <row r="18" customFormat="false" ht="13.2" hidden="false" customHeight="false" outlineLevel="0" collapsed="false">
      <c r="A18" s="302" t="n">
        <v>36702</v>
      </c>
      <c r="B18" s="344" t="n">
        <v>12</v>
      </c>
      <c r="C18" s="350" t="n">
        <v>12.5</v>
      </c>
      <c r="D18" s="350" t="n">
        <v>12.5</v>
      </c>
      <c r="E18" s="344"/>
      <c r="F18" s="344"/>
      <c r="G18" s="344"/>
      <c r="H18" s="344"/>
      <c r="I18" s="344"/>
      <c r="J18" s="344"/>
      <c r="K18" s="344"/>
      <c r="L18" s="344"/>
      <c r="M18" s="344"/>
      <c r="N18" s="344"/>
      <c r="O18" s="344"/>
      <c r="P18" s="344"/>
      <c r="Q18" s="344"/>
      <c r="R18" s="344"/>
      <c r="S18" s="344"/>
    </row>
    <row r="19" customFormat="false" ht="13.2" hidden="false" customHeight="false" outlineLevel="0" collapsed="false">
      <c r="A19" s="302" t="s">
        <v>569</v>
      </c>
      <c r="B19" s="350" t="n">
        <f aca="false">SUM(B12:B18)</f>
        <v>84</v>
      </c>
      <c r="C19" s="350" t="n">
        <f aca="false">SUM(C12:C18)</f>
        <v>87.5</v>
      </c>
      <c r="D19" s="350" t="n">
        <f aca="false">SUM(D12:D18)</f>
        <v>87.5</v>
      </c>
      <c r="E19" s="344" t="n">
        <f aca="false">SUM(E13:E18)</f>
        <v>0</v>
      </c>
      <c r="F19" s="344" t="n">
        <f aca="false">SUM(F13:F18)</f>
        <v>0</v>
      </c>
      <c r="G19" s="344"/>
      <c r="H19" s="344"/>
      <c r="I19" s="344"/>
      <c r="J19" s="344"/>
      <c r="K19" s="344"/>
      <c r="L19" s="344"/>
      <c r="M19" s="344"/>
      <c r="N19" s="344"/>
      <c r="O19" s="344" t="n">
        <f aca="false">SUM(B19:N19)</f>
        <v>259</v>
      </c>
      <c r="P19" s="344"/>
      <c r="Q19" s="344"/>
      <c r="R19" s="344"/>
      <c r="S19" s="344"/>
    </row>
    <row r="20" customFormat="false" ht="13.2" hidden="false" customHeight="false" outlineLevel="0" collapsed="false">
      <c r="A20" s="302" t="n">
        <v>36703</v>
      </c>
      <c r="B20" s="344" t="n">
        <v>15</v>
      </c>
      <c r="C20" s="350" t="n">
        <v>12.5</v>
      </c>
      <c r="D20" s="350" t="n">
        <v>12.5</v>
      </c>
      <c r="E20" s="344"/>
      <c r="F20" s="344" t="n">
        <v>4</v>
      </c>
      <c r="G20" s="344" t="n">
        <v>12</v>
      </c>
      <c r="H20" s="344" t="n">
        <v>4</v>
      </c>
      <c r="I20" s="344" t="n">
        <v>12</v>
      </c>
      <c r="J20" s="344"/>
      <c r="K20" s="344"/>
      <c r="L20" s="344"/>
      <c r="M20" s="344"/>
      <c r="N20" s="344"/>
      <c r="O20" s="344"/>
      <c r="P20" s="344"/>
      <c r="Q20" s="344"/>
      <c r="R20" s="344"/>
      <c r="S20" s="344"/>
    </row>
    <row r="21" customFormat="false" ht="13.2" hidden="false" customHeight="false" outlineLevel="0" collapsed="false">
      <c r="A21" s="302" t="n">
        <v>36704</v>
      </c>
      <c r="B21" s="344" t="n">
        <v>15</v>
      </c>
      <c r="C21" s="344"/>
      <c r="D21" s="344" t="n">
        <v>12</v>
      </c>
      <c r="E21" s="344"/>
      <c r="F21" s="344"/>
      <c r="G21" s="344"/>
      <c r="H21" s="344"/>
      <c r="I21" s="344"/>
      <c r="J21" s="344"/>
      <c r="K21" s="344"/>
      <c r="L21" s="344"/>
      <c r="M21" s="344"/>
      <c r="N21" s="344"/>
      <c r="O21" s="344"/>
      <c r="P21" s="344"/>
      <c r="Q21" s="344"/>
      <c r="R21" s="344"/>
      <c r="S21" s="344"/>
    </row>
    <row r="22" customFormat="false" ht="13.2" hidden="false" customHeight="false" outlineLevel="0" collapsed="false">
      <c r="A22" s="302" t="n">
        <v>36705</v>
      </c>
      <c r="B22" s="344" t="n">
        <v>15</v>
      </c>
      <c r="C22" s="344" t="n">
        <v>12</v>
      </c>
      <c r="D22" s="344"/>
      <c r="E22" s="344"/>
      <c r="F22" s="344"/>
      <c r="G22" s="344"/>
      <c r="H22" s="344"/>
      <c r="I22" s="344"/>
      <c r="J22" s="344"/>
      <c r="K22" s="344"/>
      <c r="L22" s="344"/>
      <c r="M22" s="344"/>
      <c r="N22" s="344"/>
      <c r="O22" s="344"/>
      <c r="P22" s="344"/>
      <c r="Q22" s="344"/>
      <c r="R22" s="344"/>
      <c r="S22" s="344"/>
    </row>
    <row r="23" customFormat="false" ht="13.2" hidden="false" customHeight="false" outlineLevel="0" collapsed="false">
      <c r="A23" s="302" t="n">
        <v>36706</v>
      </c>
      <c r="B23" s="344" t="n">
        <v>15</v>
      </c>
      <c r="C23" s="344"/>
      <c r="D23" s="344"/>
      <c r="E23" s="344"/>
      <c r="F23" s="344"/>
      <c r="G23" s="344"/>
      <c r="H23" s="344"/>
      <c r="I23" s="344"/>
      <c r="J23" s="344"/>
      <c r="K23" s="344"/>
      <c r="L23" s="344"/>
      <c r="M23" s="344"/>
      <c r="N23" s="344"/>
      <c r="O23" s="344"/>
      <c r="P23" s="344"/>
      <c r="Q23" s="344"/>
      <c r="R23" s="344"/>
      <c r="S23" s="344"/>
    </row>
    <row r="24" customFormat="false" ht="13.2" hidden="false" customHeight="false" outlineLevel="0" collapsed="false">
      <c r="A24" s="302" t="n">
        <v>36707</v>
      </c>
      <c r="B24" s="344" t="n">
        <v>15</v>
      </c>
      <c r="C24" s="344" t="n">
        <v>12</v>
      </c>
      <c r="D24" s="344"/>
      <c r="E24" s="344" t="n">
        <v>4</v>
      </c>
      <c r="F24" s="344"/>
      <c r="G24" s="344"/>
      <c r="H24" s="344"/>
      <c r="I24" s="344"/>
      <c r="J24" s="344"/>
      <c r="K24" s="344"/>
      <c r="L24" s="344"/>
      <c r="M24" s="344"/>
      <c r="N24" s="344"/>
      <c r="O24" s="344"/>
      <c r="P24" s="344"/>
      <c r="Q24" s="344"/>
      <c r="R24" s="344"/>
      <c r="S24" s="344"/>
    </row>
    <row r="25" customFormat="false" ht="13.2" hidden="false" customHeight="false" outlineLevel="0" collapsed="false">
      <c r="A25" s="302" t="n">
        <v>36708</v>
      </c>
      <c r="B25" s="344" t="n">
        <v>15</v>
      </c>
      <c r="C25" s="344" t="n">
        <v>12</v>
      </c>
      <c r="D25" s="344"/>
      <c r="E25" s="344" t="n">
        <v>2</v>
      </c>
      <c r="F25" s="344"/>
      <c r="G25" s="344"/>
      <c r="H25" s="344"/>
      <c r="I25" s="344"/>
      <c r="J25" s="344"/>
      <c r="K25" s="344"/>
      <c r="L25" s="344"/>
      <c r="M25" s="344"/>
      <c r="N25" s="344"/>
      <c r="O25" s="344"/>
      <c r="P25" s="344"/>
      <c r="Q25" s="344"/>
      <c r="R25" s="344"/>
      <c r="S25" s="344"/>
    </row>
    <row r="26" customFormat="false" ht="13.2" hidden="false" customHeight="false" outlineLevel="0" collapsed="false">
      <c r="A26" s="302" t="n">
        <v>36709</v>
      </c>
      <c r="B26" s="344" t="n">
        <v>12</v>
      </c>
      <c r="C26" s="344" t="n">
        <v>12</v>
      </c>
      <c r="D26" s="344"/>
      <c r="E26" s="344"/>
      <c r="F26" s="344"/>
      <c r="G26" s="344"/>
      <c r="H26" s="344"/>
      <c r="I26" s="344"/>
      <c r="J26" s="344"/>
      <c r="K26" s="344"/>
      <c r="L26" s="344"/>
      <c r="M26" s="344"/>
      <c r="N26" s="344"/>
      <c r="O26" s="344"/>
      <c r="P26" s="344"/>
      <c r="Q26" s="344"/>
      <c r="R26" s="344"/>
      <c r="S26" s="344"/>
    </row>
    <row r="27" customFormat="false" ht="13.2" hidden="false" customHeight="false" outlineLevel="0" collapsed="false">
      <c r="A27" s="302" t="s">
        <v>569</v>
      </c>
      <c r="B27" s="350" t="n">
        <f aca="false">SUM(B20:B26)</f>
        <v>102</v>
      </c>
      <c r="C27" s="350" t="n">
        <f aca="false">SUM(C20:C26)</f>
        <v>60.5</v>
      </c>
      <c r="D27" s="350" t="n">
        <f aca="false">SUM(D20:D26)</f>
        <v>24.5</v>
      </c>
      <c r="E27" s="350" t="n">
        <f aca="false">SUM(E20:E26)</f>
        <v>6</v>
      </c>
      <c r="F27" s="350" t="n">
        <f aca="false">SUM(F20:F26)</f>
        <v>4</v>
      </c>
      <c r="G27" s="350" t="n">
        <f aca="false">SUM(G20:G26)</f>
        <v>12</v>
      </c>
      <c r="H27" s="350" t="n">
        <f aca="false">SUM(H20:H26)</f>
        <v>4</v>
      </c>
      <c r="I27" s="350" t="n">
        <f aca="false">SUM(I20:I26)</f>
        <v>12</v>
      </c>
      <c r="J27" s="350" t="n">
        <f aca="false">SUM(J20:J26)</f>
        <v>0</v>
      </c>
      <c r="K27" s="350" t="n">
        <f aca="false">SUM(K20:K26)</f>
        <v>0</v>
      </c>
      <c r="L27" s="350" t="n">
        <f aca="false">SUM(L20:L26)</f>
        <v>0</v>
      </c>
      <c r="M27" s="350" t="n">
        <f aca="false">SUM(M20:M26)</f>
        <v>0</v>
      </c>
      <c r="N27" s="350" t="n">
        <f aca="false">SUM(N20:N26)</f>
        <v>0</v>
      </c>
      <c r="O27" s="344" t="n">
        <f aca="false">SUM(B27:N27)</f>
        <v>225</v>
      </c>
      <c r="P27" s="344"/>
      <c r="Q27" s="344"/>
      <c r="R27" s="344"/>
      <c r="S27" s="344"/>
    </row>
    <row r="28" customFormat="false" ht="13.2" hidden="false" customHeight="false" outlineLevel="0" collapsed="false">
      <c r="A28" s="302" t="n">
        <v>36710</v>
      </c>
      <c r="B28" s="344" t="n">
        <v>6</v>
      </c>
      <c r="C28" s="344" t="n">
        <v>12</v>
      </c>
      <c r="D28" s="344" t="n">
        <v>12</v>
      </c>
      <c r="E28" s="344" t="n">
        <v>12</v>
      </c>
      <c r="F28" s="344" t="n">
        <v>6</v>
      </c>
      <c r="G28" s="344"/>
      <c r="H28" s="344"/>
      <c r="I28" s="344"/>
      <c r="J28" s="344"/>
      <c r="K28" s="344"/>
      <c r="L28" s="344"/>
      <c r="M28" s="344"/>
      <c r="N28" s="344"/>
      <c r="O28" s="344"/>
      <c r="P28" s="344"/>
      <c r="Q28" s="344"/>
      <c r="R28" s="344"/>
      <c r="S28" s="344"/>
    </row>
    <row r="29" customFormat="false" ht="13.2" hidden="false" customHeight="false" outlineLevel="0" collapsed="false">
      <c r="A29" s="302" t="n">
        <v>36711</v>
      </c>
      <c r="B29" s="344"/>
      <c r="C29" s="344" t="n">
        <v>12</v>
      </c>
      <c r="D29" s="344" t="n">
        <v>12</v>
      </c>
      <c r="E29" s="344" t="n">
        <v>12</v>
      </c>
      <c r="F29" s="344"/>
      <c r="G29" s="344"/>
      <c r="H29" s="344"/>
      <c r="I29" s="344"/>
      <c r="J29" s="344"/>
      <c r="K29" s="344"/>
      <c r="L29" s="344"/>
      <c r="M29" s="344"/>
      <c r="N29" s="344"/>
      <c r="O29" s="344"/>
      <c r="P29" s="344"/>
      <c r="Q29" s="344"/>
      <c r="R29" s="344"/>
      <c r="S29" s="344"/>
    </row>
    <row r="30" customFormat="false" ht="13.2" hidden="false" customHeight="false" outlineLevel="0" collapsed="false">
      <c r="A30" s="302" t="n">
        <v>36712</v>
      </c>
      <c r="B30" s="344" t="n">
        <v>14</v>
      </c>
      <c r="C30" s="344" t="n">
        <v>12.5</v>
      </c>
      <c r="D30" s="344" t="n">
        <v>12</v>
      </c>
      <c r="E30" s="344" t="n">
        <v>6</v>
      </c>
      <c r="F30" s="344"/>
      <c r="G30" s="344"/>
      <c r="H30" s="344"/>
      <c r="I30" s="344" t="n">
        <v>12</v>
      </c>
      <c r="J30" s="344"/>
      <c r="K30" s="344"/>
      <c r="L30" s="344"/>
      <c r="M30" s="344"/>
      <c r="N30" s="344"/>
      <c r="O30" s="344"/>
      <c r="P30" s="344"/>
      <c r="Q30" s="344"/>
      <c r="R30" s="344"/>
      <c r="S30" s="344"/>
    </row>
    <row r="31" customFormat="false" ht="13.2" hidden="false" customHeight="false" outlineLevel="0" collapsed="false">
      <c r="A31" s="302" t="n">
        <v>36713</v>
      </c>
      <c r="B31" s="344" t="n">
        <v>14</v>
      </c>
      <c r="C31" s="344" t="n">
        <v>12.5</v>
      </c>
      <c r="D31" s="344" t="n">
        <v>12</v>
      </c>
      <c r="E31" s="344" t="n">
        <v>6</v>
      </c>
      <c r="F31" s="344"/>
      <c r="G31" s="344"/>
      <c r="H31" s="344"/>
      <c r="I31" s="344" t="n">
        <v>6</v>
      </c>
      <c r="J31" s="344"/>
      <c r="K31" s="344"/>
      <c r="L31" s="344"/>
      <c r="M31" s="344"/>
      <c r="N31" s="344"/>
      <c r="O31" s="344"/>
      <c r="P31" s="344"/>
      <c r="Q31" s="344"/>
      <c r="R31" s="344"/>
      <c r="S31" s="344"/>
    </row>
    <row r="32" customFormat="false" ht="13.2" hidden="false" customHeight="false" outlineLevel="0" collapsed="false">
      <c r="A32" s="302" t="n">
        <v>36714</v>
      </c>
      <c r="B32" s="344" t="n">
        <v>14</v>
      </c>
      <c r="C32" s="344" t="n">
        <v>12.5</v>
      </c>
      <c r="D32" s="344" t="n">
        <v>12</v>
      </c>
      <c r="E32" s="344"/>
      <c r="F32" s="344"/>
      <c r="G32" s="344" t="n">
        <v>12</v>
      </c>
      <c r="H32" s="344"/>
      <c r="I32" s="344"/>
      <c r="J32" s="344"/>
      <c r="K32" s="344"/>
      <c r="L32" s="344"/>
      <c r="M32" s="344"/>
      <c r="N32" s="344"/>
      <c r="O32" s="344"/>
      <c r="P32" s="344"/>
      <c r="Q32" s="344"/>
      <c r="R32" s="344"/>
      <c r="S32" s="344"/>
    </row>
    <row r="33" customFormat="false" ht="13.2" hidden="false" customHeight="false" outlineLevel="0" collapsed="false">
      <c r="A33" s="302" t="n">
        <v>36715</v>
      </c>
      <c r="B33" s="344" t="n">
        <v>14</v>
      </c>
      <c r="C33" s="344" t="n">
        <v>12.5</v>
      </c>
      <c r="D33" s="344" t="n">
        <v>12</v>
      </c>
      <c r="E33" s="344"/>
      <c r="F33" s="344"/>
      <c r="G33" s="344" t="n">
        <v>12</v>
      </c>
      <c r="H33" s="344"/>
      <c r="I33" s="344"/>
      <c r="J33" s="344"/>
      <c r="K33" s="344"/>
      <c r="L33" s="344"/>
      <c r="M33" s="344"/>
      <c r="N33" s="344"/>
      <c r="O33" s="344"/>
      <c r="P33" s="344"/>
      <c r="Q33" s="344"/>
      <c r="R33" s="344"/>
      <c r="S33" s="344"/>
    </row>
    <row r="34" customFormat="false" ht="13.2" hidden="false" customHeight="false" outlineLevel="0" collapsed="false">
      <c r="A34" s="302" t="n">
        <v>36716</v>
      </c>
      <c r="B34" s="344" t="n">
        <v>12</v>
      </c>
      <c r="C34" s="344" t="n">
        <v>12.5</v>
      </c>
      <c r="D34" s="344" t="n">
        <v>12</v>
      </c>
      <c r="E34" s="344"/>
      <c r="F34" s="344"/>
      <c r="G34" s="344" t="n">
        <v>12</v>
      </c>
      <c r="H34" s="344"/>
      <c r="I34" s="344"/>
      <c r="J34" s="344"/>
      <c r="K34" s="344"/>
      <c r="L34" s="344"/>
      <c r="M34" s="344"/>
      <c r="N34" s="344"/>
      <c r="O34" s="344"/>
      <c r="P34" s="344"/>
      <c r="Q34" s="344"/>
      <c r="R34" s="344"/>
      <c r="S34" s="344"/>
    </row>
    <row r="35" customFormat="false" ht="13.2" hidden="false" customHeight="false" outlineLevel="0" collapsed="false">
      <c r="A35" s="302" t="s">
        <v>569</v>
      </c>
      <c r="B35" s="344" t="n">
        <f aca="false">SUM(B28:B34)</f>
        <v>74</v>
      </c>
      <c r="C35" s="344" t="n">
        <f aca="false">SUM(C28:C34)</f>
        <v>86.5</v>
      </c>
      <c r="D35" s="344" t="n">
        <f aca="false">SUM(D28:D34)</f>
        <v>84</v>
      </c>
      <c r="E35" s="344" t="n">
        <f aca="false">SUM(E28:E34)</f>
        <v>36</v>
      </c>
      <c r="F35" s="344" t="n">
        <f aca="false">SUM(F28:F34)</f>
        <v>6</v>
      </c>
      <c r="G35" s="344" t="n">
        <f aca="false">SUM(G28:G34)</f>
        <v>36</v>
      </c>
      <c r="H35" s="344" t="n">
        <f aca="false">SUM(H28:H34)</f>
        <v>0</v>
      </c>
      <c r="I35" s="344" t="n">
        <f aca="false">SUM(I28:I34)</f>
        <v>18</v>
      </c>
      <c r="J35" s="344" t="n">
        <f aca="false">SUM(J28:J34)</f>
        <v>0</v>
      </c>
      <c r="K35" s="344" t="n">
        <f aca="false">SUM(K28:K34)</f>
        <v>0</v>
      </c>
      <c r="L35" s="344" t="n">
        <f aca="false">SUM(L28:L34)</f>
        <v>0</v>
      </c>
      <c r="M35" s="344" t="n">
        <f aca="false">SUM(M28:M34)</f>
        <v>0</v>
      </c>
      <c r="N35" s="344"/>
      <c r="O35" s="344" t="n">
        <f aca="false">SUM(B35:N35)</f>
        <v>340.5</v>
      </c>
      <c r="P35" s="344"/>
      <c r="Q35" s="344"/>
      <c r="R35" s="344"/>
      <c r="S35" s="344"/>
    </row>
    <row r="36" customFormat="false" ht="13.2" hidden="false" customHeight="false" outlineLevel="0" collapsed="false">
      <c r="A36" s="302" t="n">
        <v>36717</v>
      </c>
      <c r="B36" s="344" t="n">
        <v>12</v>
      </c>
      <c r="C36" s="344" t="n">
        <v>12.5</v>
      </c>
      <c r="D36" s="344" t="n">
        <v>12</v>
      </c>
      <c r="E36" s="344"/>
      <c r="F36" s="344"/>
      <c r="G36" s="344" t="n">
        <v>12</v>
      </c>
      <c r="H36" s="344"/>
      <c r="I36" s="344"/>
      <c r="J36" s="344"/>
      <c r="K36" s="344"/>
      <c r="L36" s="344"/>
      <c r="M36" s="344"/>
      <c r="N36" s="344"/>
      <c r="O36" s="344"/>
      <c r="P36" s="344"/>
      <c r="Q36" s="344"/>
      <c r="R36" s="344"/>
      <c r="S36" s="344"/>
    </row>
    <row r="37" customFormat="false" ht="13.2" hidden="false" customHeight="false" outlineLevel="0" collapsed="false">
      <c r="A37" s="302" t="n">
        <v>36718</v>
      </c>
      <c r="B37" s="344" t="n">
        <v>12</v>
      </c>
      <c r="C37" s="344" t="n">
        <v>12.5</v>
      </c>
      <c r="D37" s="344" t="n">
        <v>12</v>
      </c>
      <c r="E37" s="344"/>
      <c r="F37" s="344"/>
      <c r="G37" s="344" t="n">
        <v>12</v>
      </c>
      <c r="H37" s="344"/>
      <c r="I37" s="344"/>
      <c r="J37" s="344"/>
      <c r="K37" s="344"/>
      <c r="L37" s="344"/>
      <c r="M37" s="344"/>
      <c r="N37" s="344"/>
      <c r="O37" s="344"/>
      <c r="P37" s="344"/>
      <c r="Q37" s="344"/>
      <c r="R37" s="344"/>
      <c r="S37" s="344"/>
    </row>
    <row r="38" customFormat="false" ht="13.2" hidden="false" customHeight="false" outlineLevel="0" collapsed="false">
      <c r="A38" s="302" t="n">
        <v>36719</v>
      </c>
      <c r="B38" s="344" t="n">
        <v>12</v>
      </c>
      <c r="C38" s="344" t="n">
        <v>12.5</v>
      </c>
      <c r="D38" s="344" t="n">
        <v>12</v>
      </c>
      <c r="E38" s="344"/>
      <c r="F38" s="344"/>
      <c r="G38" s="344" t="n">
        <v>12</v>
      </c>
      <c r="H38" s="344"/>
      <c r="I38" s="344"/>
      <c r="J38" s="344"/>
      <c r="K38" s="344"/>
      <c r="L38" s="344"/>
      <c r="M38" s="344"/>
      <c r="N38" s="344"/>
      <c r="O38" s="344"/>
      <c r="P38" s="344"/>
      <c r="Q38" s="344"/>
      <c r="R38" s="344"/>
      <c r="S38" s="344"/>
    </row>
    <row r="39" customFormat="false" ht="13.2" hidden="false" customHeight="false" outlineLevel="0" collapsed="false">
      <c r="A39" s="302" t="n">
        <v>36720</v>
      </c>
      <c r="B39" s="346" t="n">
        <v>14</v>
      </c>
      <c r="C39" s="346" t="n">
        <v>12.5</v>
      </c>
      <c r="D39" s="346" t="n">
        <v>15</v>
      </c>
      <c r="E39" s="346"/>
      <c r="F39" s="346"/>
      <c r="G39" s="346" t="n">
        <v>15</v>
      </c>
      <c r="H39" s="344"/>
      <c r="I39" s="344"/>
      <c r="J39" s="344"/>
      <c r="K39" s="344"/>
      <c r="L39" s="344"/>
      <c r="M39" s="344"/>
      <c r="N39" s="344"/>
      <c r="O39" s="344"/>
      <c r="P39" s="344"/>
      <c r="Q39" s="344"/>
      <c r="R39" s="344"/>
      <c r="S39" s="344"/>
    </row>
    <row r="40" customFormat="false" ht="13.2" hidden="false" customHeight="false" outlineLevel="0" collapsed="false">
      <c r="A40" s="302" t="n">
        <v>36721</v>
      </c>
      <c r="B40" s="346" t="n">
        <v>14</v>
      </c>
      <c r="C40" s="346" t="n">
        <v>12.5</v>
      </c>
      <c r="D40" s="346" t="n">
        <v>12</v>
      </c>
      <c r="E40" s="346"/>
      <c r="F40" s="346" t="n">
        <v>8</v>
      </c>
      <c r="G40" s="346" t="n">
        <v>12</v>
      </c>
      <c r="H40" s="344"/>
      <c r="I40" s="344"/>
      <c r="J40" s="344"/>
      <c r="K40" s="344"/>
      <c r="L40" s="344"/>
      <c r="M40" s="344"/>
      <c r="N40" s="344"/>
      <c r="O40" s="344"/>
      <c r="P40" s="344"/>
      <c r="Q40" s="344"/>
      <c r="R40" s="344"/>
      <c r="S40" s="344"/>
    </row>
    <row r="41" customFormat="false" ht="13.2" hidden="false" customHeight="false" outlineLevel="0" collapsed="false">
      <c r="A41" s="302" t="n">
        <v>36722</v>
      </c>
      <c r="B41" s="346" t="n">
        <v>8</v>
      </c>
      <c r="C41" s="346" t="n">
        <v>12.5</v>
      </c>
      <c r="D41" s="346" t="n">
        <v>12</v>
      </c>
      <c r="E41" s="346"/>
      <c r="F41" s="346"/>
      <c r="G41" s="346" t="n">
        <v>12</v>
      </c>
      <c r="H41" s="344"/>
      <c r="I41" s="344"/>
      <c r="J41" s="344"/>
      <c r="K41" s="344"/>
      <c r="L41" s="344"/>
      <c r="M41" s="344"/>
      <c r="N41" s="344"/>
      <c r="O41" s="344"/>
      <c r="P41" s="344"/>
      <c r="Q41" s="344"/>
      <c r="R41" s="344"/>
      <c r="S41" s="344"/>
    </row>
    <row r="42" customFormat="false" ht="13.2" hidden="false" customHeight="false" outlineLevel="0" collapsed="false">
      <c r="A42" s="302" t="n">
        <v>36723</v>
      </c>
      <c r="B42" s="352"/>
      <c r="C42" s="346" t="n">
        <v>12.5</v>
      </c>
      <c r="D42" s="346" t="n">
        <v>12</v>
      </c>
      <c r="E42" s="346"/>
      <c r="F42" s="346"/>
      <c r="G42" s="346" t="n">
        <v>8</v>
      </c>
      <c r="H42" s="344"/>
      <c r="I42" s="344"/>
      <c r="J42" s="344"/>
      <c r="K42" s="344"/>
      <c r="L42" s="344"/>
      <c r="M42" s="344"/>
      <c r="N42" s="344"/>
      <c r="O42" s="344"/>
      <c r="P42" s="344"/>
      <c r="Q42" s="346" t="n">
        <f aca="false">SUM(B39:G42)</f>
        <v>192</v>
      </c>
      <c r="R42" s="344"/>
      <c r="S42" s="344"/>
    </row>
    <row r="43" customFormat="false" ht="13.2" hidden="false" customHeight="false" outlineLevel="0" collapsed="false">
      <c r="A43" s="302" t="s">
        <v>569</v>
      </c>
      <c r="B43" s="344" t="n">
        <f aca="false">SUM(B36:B41)</f>
        <v>72</v>
      </c>
      <c r="C43" s="344" t="n">
        <f aca="false">SUM(C36:C42)</f>
        <v>87.5</v>
      </c>
      <c r="D43" s="344" t="n">
        <f aca="false">SUM(D36:D42)</f>
        <v>87</v>
      </c>
      <c r="E43" s="344" t="n">
        <f aca="false">SUM(E36:E42)</f>
        <v>0</v>
      </c>
      <c r="F43" s="344" t="n">
        <f aca="false">SUM(F36:F42)</f>
        <v>8</v>
      </c>
      <c r="G43" s="344" t="n">
        <f aca="false">SUM(G36:G42)</f>
        <v>83</v>
      </c>
      <c r="H43" s="344" t="n">
        <f aca="false">SUM(H36:H42)</f>
        <v>0</v>
      </c>
      <c r="I43" s="344" t="n">
        <f aca="false">SUM(I36:I42)</f>
        <v>0</v>
      </c>
      <c r="J43" s="344" t="n">
        <f aca="false">SUM(J36:J42)</f>
        <v>0</v>
      </c>
      <c r="K43" s="344" t="n">
        <f aca="false">SUM(K36:K42)</f>
        <v>0</v>
      </c>
      <c r="L43" s="344" t="n">
        <f aca="false">SUM(L36:L42)</f>
        <v>0</v>
      </c>
      <c r="M43" s="344" t="n">
        <f aca="false">SUM(M36:M42)</f>
        <v>0</v>
      </c>
      <c r="N43" s="344"/>
      <c r="O43" s="344" t="n">
        <f aca="false">SUM(B43:N43)</f>
        <v>337.5</v>
      </c>
      <c r="P43" s="344"/>
      <c r="Q43" s="344"/>
      <c r="R43" s="344"/>
      <c r="S43" s="344"/>
    </row>
    <row r="44" customFormat="false" ht="13.2" hidden="false" customHeight="false" outlineLevel="0" collapsed="false">
      <c r="A44" s="302" t="n">
        <v>36724</v>
      </c>
      <c r="B44" s="346" t="n">
        <v>14</v>
      </c>
      <c r="C44" s="346" t="n">
        <v>12.5</v>
      </c>
      <c r="D44" s="346" t="n">
        <v>12</v>
      </c>
      <c r="E44" s="346"/>
      <c r="F44" s="346"/>
      <c r="G44" s="346" t="n">
        <v>12</v>
      </c>
      <c r="H44" s="346"/>
      <c r="I44" s="346" t="n">
        <v>6</v>
      </c>
      <c r="J44" s="346"/>
      <c r="K44" s="344"/>
      <c r="L44" s="344"/>
      <c r="M44" s="344"/>
      <c r="N44" s="344"/>
      <c r="O44" s="344"/>
      <c r="P44" s="344"/>
      <c r="Q44" s="344"/>
      <c r="R44" s="344"/>
      <c r="S44" s="344"/>
    </row>
    <row r="45" customFormat="false" ht="13.2" hidden="false" customHeight="false" outlineLevel="0" collapsed="false">
      <c r="A45" s="302" t="n">
        <v>36725</v>
      </c>
      <c r="B45" s="346" t="n">
        <v>13</v>
      </c>
      <c r="C45" s="346" t="n">
        <v>12.5</v>
      </c>
      <c r="D45" s="346" t="n">
        <v>12</v>
      </c>
      <c r="E45" s="346"/>
      <c r="F45" s="346"/>
      <c r="G45" s="346" t="n">
        <v>12</v>
      </c>
      <c r="H45" s="346"/>
      <c r="I45" s="346" t="n">
        <v>12</v>
      </c>
      <c r="J45" s="346"/>
      <c r="K45" s="344"/>
      <c r="L45" s="344"/>
      <c r="M45" s="344"/>
      <c r="N45" s="344"/>
      <c r="O45" s="344"/>
      <c r="P45" s="344"/>
      <c r="Q45" s="344"/>
      <c r="R45" s="344"/>
      <c r="S45" s="344"/>
    </row>
    <row r="46" customFormat="false" ht="13.2" hidden="false" customHeight="false" outlineLevel="0" collapsed="false">
      <c r="A46" s="302" t="n">
        <v>36726</v>
      </c>
      <c r="B46" s="346" t="n">
        <v>14</v>
      </c>
      <c r="C46" s="346" t="n">
        <v>12.5</v>
      </c>
      <c r="D46" s="346" t="n">
        <v>12</v>
      </c>
      <c r="E46" s="346"/>
      <c r="F46" s="346" t="n">
        <v>12</v>
      </c>
      <c r="G46" s="346" t="n">
        <v>12</v>
      </c>
      <c r="H46" s="346"/>
      <c r="I46" s="346" t="n">
        <v>12</v>
      </c>
      <c r="J46" s="346"/>
      <c r="K46" s="344"/>
      <c r="L46" s="344"/>
      <c r="M46" s="344"/>
      <c r="N46" s="344"/>
      <c r="O46" s="344"/>
      <c r="P46" s="344"/>
      <c r="Q46" s="344"/>
      <c r="R46" s="344"/>
      <c r="S46" s="344"/>
    </row>
    <row r="47" customFormat="false" ht="13.2" hidden="false" customHeight="false" outlineLevel="0" collapsed="false">
      <c r="A47" s="302" t="n">
        <v>36727</v>
      </c>
      <c r="B47" s="346" t="n">
        <v>21</v>
      </c>
      <c r="C47" s="346" t="n">
        <v>21</v>
      </c>
      <c r="D47" s="346" t="n">
        <v>21</v>
      </c>
      <c r="E47" s="346"/>
      <c r="F47" s="346" t="n">
        <v>21</v>
      </c>
      <c r="G47" s="346" t="n">
        <v>21</v>
      </c>
      <c r="H47" s="346"/>
      <c r="I47" s="346" t="n">
        <v>12</v>
      </c>
      <c r="J47" s="346" t="n">
        <v>21</v>
      </c>
      <c r="K47" s="344"/>
      <c r="L47" s="344"/>
      <c r="M47" s="344"/>
      <c r="N47" s="344"/>
      <c r="O47" s="344"/>
      <c r="P47" s="344"/>
      <c r="Q47" s="344"/>
      <c r="R47" s="344"/>
      <c r="S47" s="344"/>
    </row>
    <row r="48" customFormat="false" ht="13.2" hidden="false" customHeight="false" outlineLevel="0" collapsed="false">
      <c r="A48" s="302" t="n">
        <v>36728</v>
      </c>
      <c r="B48" s="346" t="n">
        <v>12</v>
      </c>
      <c r="C48" s="346" t="n">
        <v>12.5</v>
      </c>
      <c r="D48" s="346" t="n">
        <v>12</v>
      </c>
      <c r="E48" s="346" t="n">
        <v>12</v>
      </c>
      <c r="F48" s="346" t="n">
        <v>12</v>
      </c>
      <c r="G48" s="346" t="n">
        <v>12</v>
      </c>
      <c r="H48" s="346"/>
      <c r="I48" s="346" t="n">
        <v>12</v>
      </c>
      <c r="J48" s="346" t="n">
        <v>12</v>
      </c>
      <c r="K48" s="344"/>
      <c r="L48" s="344"/>
      <c r="M48" s="344"/>
      <c r="N48" s="344"/>
      <c r="O48" s="344"/>
      <c r="P48" s="344"/>
      <c r="Q48" s="344"/>
      <c r="R48" s="344"/>
      <c r="S48" s="344"/>
    </row>
    <row r="49" customFormat="false" ht="13.2" hidden="false" customHeight="false" outlineLevel="0" collapsed="false">
      <c r="A49" s="302" t="n">
        <v>36729</v>
      </c>
      <c r="B49" s="346" t="n">
        <v>16</v>
      </c>
      <c r="C49" s="346" t="n">
        <v>12.5</v>
      </c>
      <c r="D49" s="346" t="n">
        <v>16</v>
      </c>
      <c r="E49" s="346" t="n">
        <v>12</v>
      </c>
      <c r="F49" s="346" t="n">
        <v>12</v>
      </c>
      <c r="G49" s="346" t="n">
        <v>16</v>
      </c>
      <c r="H49" s="346"/>
      <c r="I49" s="346" t="n">
        <v>12</v>
      </c>
      <c r="J49" s="346" t="n">
        <v>12</v>
      </c>
      <c r="K49" s="344"/>
      <c r="L49" s="344"/>
      <c r="M49" s="344"/>
      <c r="N49" s="344"/>
      <c r="O49" s="344"/>
      <c r="P49" s="344"/>
      <c r="Q49" s="344"/>
      <c r="R49" s="344"/>
      <c r="S49" s="344"/>
    </row>
    <row r="50" customFormat="false" ht="13.2" hidden="false" customHeight="false" outlineLevel="0" collapsed="false">
      <c r="A50" s="302" t="n">
        <v>36730</v>
      </c>
      <c r="B50" s="346" t="n">
        <v>10</v>
      </c>
      <c r="C50" s="346"/>
      <c r="D50" s="346" t="n">
        <v>10</v>
      </c>
      <c r="E50" s="346"/>
      <c r="F50" s="346"/>
      <c r="G50" s="346" t="n">
        <v>10</v>
      </c>
      <c r="H50" s="346"/>
      <c r="I50" s="346" t="n">
        <v>10</v>
      </c>
      <c r="J50" s="346"/>
      <c r="K50" s="344"/>
      <c r="L50" s="344"/>
      <c r="M50" s="344"/>
      <c r="N50" s="344"/>
      <c r="O50" s="344"/>
      <c r="P50" s="344"/>
      <c r="Q50" s="346" t="n">
        <f aca="false">SUM(B44:J50)</f>
        <v>575.5</v>
      </c>
      <c r="R50" s="344"/>
      <c r="S50" s="344"/>
    </row>
    <row r="51" customFormat="false" ht="13.2" hidden="false" customHeight="false" outlineLevel="0" collapsed="false">
      <c r="A51" s="302" t="s">
        <v>569</v>
      </c>
      <c r="B51" s="344" t="n">
        <f aca="false">SUM(B44:B50)</f>
        <v>100</v>
      </c>
      <c r="C51" s="344" t="n">
        <f aca="false">SUM(C44:C50)</f>
        <v>83.5</v>
      </c>
      <c r="D51" s="344" t="n">
        <f aca="false">SUM(D44:D50)</f>
        <v>95</v>
      </c>
      <c r="E51" s="344" t="n">
        <f aca="false">SUM(E44:E50)</f>
        <v>24</v>
      </c>
      <c r="F51" s="344" t="n">
        <f aca="false">SUM(F44:F50)</f>
        <v>57</v>
      </c>
      <c r="G51" s="344" t="n">
        <f aca="false">SUM(G44:G50)</f>
        <v>95</v>
      </c>
      <c r="H51" s="344" t="n">
        <f aca="false">SUM(H44:H50)</f>
        <v>0</v>
      </c>
      <c r="I51" s="344" t="n">
        <f aca="false">SUM(I44:I50)</f>
        <v>76</v>
      </c>
      <c r="J51" s="344" t="n">
        <f aca="false">SUM(J44:J50)</f>
        <v>45</v>
      </c>
      <c r="K51" s="344" t="n">
        <f aca="false">SUM(K44:K50)</f>
        <v>0</v>
      </c>
      <c r="L51" s="344" t="n">
        <f aca="false">SUM(L44:L50)</f>
        <v>0</v>
      </c>
      <c r="M51" s="344" t="n">
        <f aca="false">SUM(M44:M50)</f>
        <v>0</v>
      </c>
      <c r="N51" s="344"/>
      <c r="O51" s="344" t="n">
        <f aca="false">SUM(B51:N51)</f>
        <v>575.5</v>
      </c>
      <c r="P51" s="344"/>
      <c r="Q51" s="344"/>
      <c r="R51" s="344"/>
      <c r="S51" s="344"/>
    </row>
    <row r="52" customFormat="false" ht="13.2" hidden="false" customHeight="false" outlineLevel="0" collapsed="false">
      <c r="A52" s="302" t="n">
        <v>36731</v>
      </c>
      <c r="B52" s="344" t="n">
        <v>10</v>
      </c>
      <c r="C52" s="344"/>
      <c r="D52" s="344"/>
      <c r="E52" s="344"/>
      <c r="F52" s="344"/>
      <c r="G52" s="344"/>
      <c r="H52" s="344"/>
      <c r="I52" s="344"/>
      <c r="J52" s="344"/>
      <c r="K52" s="344"/>
      <c r="L52" s="344"/>
      <c r="M52" s="344"/>
      <c r="N52" s="344"/>
      <c r="O52" s="344"/>
      <c r="P52" s="344"/>
      <c r="Q52" s="344"/>
      <c r="R52" s="344"/>
      <c r="S52" s="344"/>
    </row>
    <row r="53" customFormat="false" ht="13.2" hidden="false" customHeight="false" outlineLevel="0" collapsed="false">
      <c r="A53" s="302" t="n">
        <v>36732</v>
      </c>
      <c r="B53" s="344" t="n">
        <v>10</v>
      </c>
      <c r="C53" s="344"/>
      <c r="D53" s="344"/>
      <c r="E53" s="344"/>
      <c r="F53" s="344"/>
      <c r="G53" s="344"/>
      <c r="H53" s="344"/>
      <c r="I53" s="344"/>
      <c r="J53" s="344"/>
      <c r="K53" s="344"/>
      <c r="L53" s="344"/>
      <c r="M53" s="344"/>
      <c r="N53" s="344"/>
      <c r="O53" s="344"/>
      <c r="P53" s="344"/>
      <c r="Q53" s="344"/>
      <c r="R53" s="344"/>
      <c r="S53" s="344"/>
    </row>
    <row r="54" customFormat="false" ht="13.2" hidden="false" customHeight="false" outlineLevel="0" collapsed="false">
      <c r="A54" s="302" t="n">
        <v>36733</v>
      </c>
      <c r="B54" s="344" t="n">
        <v>10</v>
      </c>
      <c r="C54" s="344"/>
      <c r="D54" s="344"/>
      <c r="E54" s="344"/>
      <c r="F54" s="344"/>
      <c r="G54" s="344"/>
      <c r="H54" s="344"/>
      <c r="I54" s="344"/>
      <c r="J54" s="344"/>
      <c r="K54" s="344"/>
      <c r="L54" s="344"/>
      <c r="M54" s="344"/>
      <c r="N54" s="344"/>
      <c r="O54" s="344"/>
      <c r="P54" s="344"/>
      <c r="Q54" s="344"/>
      <c r="R54" s="344"/>
      <c r="S54" s="344"/>
    </row>
    <row r="55" customFormat="false" ht="13.2" hidden="false" customHeight="false" outlineLevel="0" collapsed="false">
      <c r="A55" s="302" t="n">
        <v>36734</v>
      </c>
      <c r="B55" s="344" t="n">
        <v>10</v>
      </c>
      <c r="C55" s="344"/>
      <c r="D55" s="344"/>
      <c r="E55" s="344"/>
      <c r="F55" s="344"/>
      <c r="G55" s="344"/>
      <c r="H55" s="344"/>
      <c r="I55" s="344"/>
      <c r="J55" s="344"/>
      <c r="K55" s="344"/>
      <c r="L55" s="344"/>
      <c r="M55" s="344"/>
      <c r="N55" s="344"/>
      <c r="O55" s="344"/>
      <c r="P55" s="344"/>
      <c r="Q55" s="344"/>
      <c r="R55" s="344"/>
      <c r="S55" s="344"/>
    </row>
    <row r="56" customFormat="false" ht="13.2" hidden="false" customHeight="false" outlineLevel="0" collapsed="false">
      <c r="A56" s="302" t="n">
        <v>36735</v>
      </c>
      <c r="B56" s="344" t="n">
        <v>10</v>
      </c>
      <c r="C56" s="344"/>
      <c r="D56" s="344"/>
      <c r="E56" s="344"/>
      <c r="F56" s="344"/>
      <c r="G56" s="344"/>
      <c r="H56" s="344"/>
      <c r="I56" s="344"/>
      <c r="J56" s="344"/>
      <c r="K56" s="344"/>
      <c r="L56" s="344"/>
      <c r="M56" s="344"/>
      <c r="N56" s="344"/>
      <c r="O56" s="344"/>
      <c r="P56" s="344"/>
      <c r="Q56" s="344"/>
      <c r="R56" s="344"/>
      <c r="S56" s="344"/>
    </row>
    <row r="57" customFormat="false" ht="13.2" hidden="false" customHeight="false" outlineLevel="0" collapsed="false">
      <c r="A57" s="302" t="n">
        <v>36736</v>
      </c>
      <c r="B57" s="344" t="n">
        <v>10</v>
      </c>
      <c r="C57" s="344"/>
      <c r="D57" s="344"/>
      <c r="E57" s="344"/>
      <c r="F57" s="344"/>
      <c r="G57" s="344"/>
      <c r="H57" s="344"/>
      <c r="I57" s="344"/>
      <c r="J57" s="344"/>
      <c r="K57" s="344"/>
      <c r="L57" s="344"/>
      <c r="M57" s="344"/>
      <c r="N57" s="344"/>
      <c r="O57" s="344"/>
      <c r="P57" s="344"/>
      <c r="Q57" s="344"/>
      <c r="R57" s="344"/>
      <c r="S57" s="344"/>
    </row>
    <row r="58" customFormat="false" ht="13.2" hidden="false" customHeight="false" outlineLevel="0" collapsed="false">
      <c r="A58" s="302" t="n">
        <v>36737</v>
      </c>
      <c r="B58" s="344"/>
      <c r="C58" s="344"/>
      <c r="D58" s="344"/>
      <c r="E58" s="344"/>
      <c r="F58" s="344"/>
      <c r="G58" s="344"/>
      <c r="H58" s="344"/>
      <c r="I58" s="344"/>
      <c r="J58" s="344"/>
      <c r="K58" s="344"/>
      <c r="L58" s="344"/>
      <c r="M58" s="344"/>
      <c r="N58" s="344"/>
      <c r="O58" s="344"/>
      <c r="P58" s="344"/>
      <c r="Q58" s="344"/>
      <c r="R58" s="344"/>
      <c r="S58" s="344"/>
    </row>
    <row r="59" customFormat="false" ht="13.2" hidden="false" customHeight="false" outlineLevel="0" collapsed="false">
      <c r="A59" s="302" t="s">
        <v>569</v>
      </c>
      <c r="B59" s="344" t="n">
        <f aca="false">SUM(B52:B58)</f>
        <v>60</v>
      </c>
      <c r="C59" s="344" t="n">
        <f aca="false">SUM(C52:C58)</f>
        <v>0</v>
      </c>
      <c r="D59" s="344" t="n">
        <f aca="false">SUM(D52:D58)</f>
        <v>0</v>
      </c>
      <c r="E59" s="344" t="n">
        <f aca="false">SUM(E52:E58)</f>
        <v>0</v>
      </c>
      <c r="F59" s="344" t="n">
        <f aca="false">SUM(F52:F58)</f>
        <v>0</v>
      </c>
      <c r="G59" s="344" t="n">
        <f aca="false">SUM(G52:G58)</f>
        <v>0</v>
      </c>
      <c r="H59" s="344" t="n">
        <f aca="false">SUM(H52:H58)</f>
        <v>0</v>
      </c>
      <c r="I59" s="344" t="n">
        <f aca="false">SUM(I52:I58)</f>
        <v>0</v>
      </c>
      <c r="J59" s="344" t="n">
        <f aca="false">SUM(J52:J58)</f>
        <v>0</v>
      </c>
      <c r="K59" s="344" t="n">
        <f aca="false">SUM(K52:K58)</f>
        <v>0</v>
      </c>
      <c r="L59" s="344" t="n">
        <f aca="false">SUM(L52:L58)</f>
        <v>0</v>
      </c>
      <c r="M59" s="344" t="n">
        <f aca="false">SUM(M52:M58)</f>
        <v>0</v>
      </c>
      <c r="N59" s="344"/>
      <c r="O59" s="344" t="n">
        <f aca="false">SUM(B59:N59)</f>
        <v>60</v>
      </c>
      <c r="P59" s="344" t="n">
        <f aca="false">+O59</f>
        <v>60</v>
      </c>
      <c r="Q59" s="344"/>
      <c r="R59" s="344"/>
      <c r="S59" s="344"/>
    </row>
    <row r="60" customFormat="false" ht="13.2" hidden="false" customHeight="false" outlineLevel="0" collapsed="false">
      <c r="A60" s="302" t="n">
        <v>36738</v>
      </c>
      <c r="B60" s="344" t="n">
        <v>8</v>
      </c>
      <c r="C60" s="344"/>
      <c r="D60" s="344"/>
      <c r="E60" s="344"/>
      <c r="F60" s="344"/>
      <c r="G60" s="344"/>
      <c r="H60" s="344"/>
      <c r="I60" s="344"/>
      <c r="J60" s="344"/>
      <c r="K60" s="344"/>
      <c r="L60" s="344"/>
      <c r="M60" s="344"/>
      <c r="N60" s="344"/>
      <c r="O60" s="344"/>
      <c r="P60" s="344"/>
      <c r="Q60" s="344"/>
      <c r="R60" s="344"/>
      <c r="S60" s="344"/>
    </row>
    <row r="61" customFormat="false" ht="13.2" hidden="false" customHeight="false" outlineLevel="0" collapsed="false">
      <c r="A61" s="302" t="n">
        <v>36739</v>
      </c>
      <c r="B61" s="344" t="n">
        <v>14</v>
      </c>
      <c r="C61" s="344"/>
      <c r="D61" s="344"/>
      <c r="E61" s="344"/>
      <c r="F61" s="344"/>
      <c r="G61" s="344"/>
      <c r="H61" s="344"/>
      <c r="I61" s="344"/>
      <c r="J61" s="344"/>
      <c r="K61" s="344"/>
      <c r="L61" s="344"/>
      <c r="M61" s="344"/>
      <c r="N61" s="344"/>
      <c r="O61" s="344"/>
      <c r="P61" s="344"/>
      <c r="Q61" s="344"/>
      <c r="R61" s="344"/>
      <c r="S61" s="344"/>
    </row>
    <row r="62" customFormat="false" ht="13.2" hidden="false" customHeight="false" outlineLevel="0" collapsed="false">
      <c r="A62" s="302" t="n">
        <v>36740</v>
      </c>
      <c r="B62" s="344" t="n">
        <v>16</v>
      </c>
      <c r="C62" s="344"/>
      <c r="D62" s="344"/>
      <c r="E62" s="344"/>
      <c r="F62" s="344"/>
      <c r="G62" s="344"/>
      <c r="H62" s="344"/>
      <c r="I62" s="344"/>
      <c r="J62" s="344"/>
      <c r="K62" s="344"/>
      <c r="L62" s="344"/>
      <c r="M62" s="344"/>
      <c r="N62" s="344"/>
      <c r="O62" s="344"/>
      <c r="P62" s="344"/>
      <c r="Q62" s="344"/>
      <c r="R62" s="344"/>
      <c r="S62" s="344"/>
    </row>
    <row r="63" customFormat="false" ht="13.2" hidden="false" customHeight="false" outlineLevel="0" collapsed="false">
      <c r="A63" s="302" t="n">
        <v>36741</v>
      </c>
      <c r="B63" s="344" t="n">
        <v>12</v>
      </c>
      <c r="C63" s="344"/>
      <c r="D63" s="344"/>
      <c r="E63" s="344"/>
      <c r="F63" s="344"/>
      <c r="G63" s="344"/>
      <c r="H63" s="344"/>
      <c r="I63" s="344"/>
      <c r="J63" s="344"/>
      <c r="K63" s="344"/>
      <c r="L63" s="344"/>
      <c r="M63" s="344"/>
      <c r="N63" s="344"/>
      <c r="O63" s="344"/>
      <c r="P63" s="344"/>
      <c r="Q63" s="344"/>
      <c r="R63" s="344"/>
      <c r="S63" s="344"/>
    </row>
    <row r="64" customFormat="false" ht="13.2" hidden="false" customHeight="false" outlineLevel="0" collapsed="false">
      <c r="A64" s="302" t="n">
        <v>36742</v>
      </c>
      <c r="B64" s="344" t="n">
        <v>8</v>
      </c>
      <c r="C64" s="344"/>
      <c r="D64" s="344"/>
      <c r="E64" s="344"/>
      <c r="F64" s="344"/>
      <c r="G64" s="344"/>
      <c r="H64" s="344"/>
      <c r="I64" s="344"/>
      <c r="J64" s="344"/>
      <c r="K64" s="344"/>
      <c r="L64" s="344"/>
      <c r="M64" s="344"/>
      <c r="N64" s="344"/>
      <c r="O64" s="344"/>
      <c r="P64" s="344"/>
      <c r="Q64" s="344"/>
      <c r="R64" s="344"/>
      <c r="S64" s="344"/>
    </row>
    <row r="65" customFormat="false" ht="13.2" hidden="false" customHeight="false" outlineLevel="0" collapsed="false">
      <c r="A65" s="302" t="n">
        <v>36743</v>
      </c>
      <c r="B65" s="344"/>
      <c r="C65" s="344"/>
      <c r="D65" s="344"/>
      <c r="E65" s="344"/>
      <c r="F65" s="344"/>
      <c r="G65" s="344"/>
      <c r="H65" s="344"/>
      <c r="I65" s="344"/>
      <c r="J65" s="344"/>
      <c r="K65" s="344"/>
      <c r="L65" s="344"/>
      <c r="M65" s="344"/>
      <c r="N65" s="344"/>
      <c r="O65" s="344"/>
      <c r="P65" s="344"/>
      <c r="Q65" s="344"/>
      <c r="R65" s="344"/>
      <c r="S65" s="344"/>
    </row>
    <row r="66" customFormat="false" ht="13.2" hidden="false" customHeight="false" outlineLevel="0" collapsed="false">
      <c r="A66" s="302" t="n">
        <v>36744</v>
      </c>
      <c r="B66" s="344"/>
      <c r="C66" s="344"/>
      <c r="D66" s="344"/>
      <c r="E66" s="344"/>
      <c r="F66" s="344"/>
      <c r="G66" s="344"/>
      <c r="H66" s="344"/>
      <c r="I66" s="344"/>
      <c r="J66" s="344"/>
      <c r="K66" s="344"/>
      <c r="L66" s="344"/>
      <c r="M66" s="344"/>
      <c r="N66" s="344"/>
      <c r="O66" s="344"/>
      <c r="P66" s="344"/>
      <c r="Q66" s="344"/>
      <c r="R66" s="344"/>
      <c r="S66" s="344"/>
    </row>
    <row r="67" customFormat="false" ht="13.2" hidden="false" customHeight="false" outlineLevel="0" collapsed="false">
      <c r="A67" s="302" t="s">
        <v>569</v>
      </c>
      <c r="B67" s="344" t="n">
        <f aca="false">SUM(B60:B66)</f>
        <v>58</v>
      </c>
      <c r="C67" s="344" t="n">
        <f aca="false">SUM(C60:C66)</f>
        <v>0</v>
      </c>
      <c r="D67" s="344" t="n">
        <f aca="false">SUM(D60:D66)</f>
        <v>0</v>
      </c>
      <c r="E67" s="344" t="n">
        <f aca="false">SUM(E60:E66)</f>
        <v>0</v>
      </c>
      <c r="F67" s="344" t="n">
        <f aca="false">SUM(F60:F66)</f>
        <v>0</v>
      </c>
      <c r="G67" s="344" t="n">
        <f aca="false">SUM(G60:G66)</f>
        <v>0</v>
      </c>
      <c r="H67" s="344" t="n">
        <f aca="false">SUM(H60:H66)</f>
        <v>0</v>
      </c>
      <c r="I67" s="344" t="n">
        <f aca="false">SUM(I60:I66)</f>
        <v>0</v>
      </c>
      <c r="J67" s="344" t="n">
        <f aca="false">SUM(J60:J66)</f>
        <v>0</v>
      </c>
      <c r="K67" s="344" t="n">
        <f aca="false">SUM(K60:K66)</f>
        <v>0</v>
      </c>
      <c r="L67" s="344" t="n">
        <f aca="false">SUM(L60:L66)</f>
        <v>0</v>
      </c>
      <c r="M67" s="344" t="n">
        <f aca="false">SUM(M60:M66)</f>
        <v>0</v>
      </c>
      <c r="N67" s="344"/>
      <c r="O67" s="344" t="n">
        <f aca="false">SUM(B67:N67)</f>
        <v>58</v>
      </c>
      <c r="P67" s="344" t="n">
        <f aca="false">+O67</f>
        <v>58</v>
      </c>
      <c r="Q67" s="344"/>
      <c r="R67" s="344"/>
      <c r="S67" s="344"/>
    </row>
    <row r="68" customFormat="false" ht="13.2" hidden="false" customHeight="false" outlineLevel="0" collapsed="false">
      <c r="A68" s="302" t="n">
        <v>36745</v>
      </c>
      <c r="B68" s="344"/>
      <c r="C68" s="344"/>
      <c r="D68" s="344"/>
      <c r="E68" s="344"/>
      <c r="F68" s="344"/>
      <c r="G68" s="344"/>
      <c r="H68" s="344"/>
      <c r="I68" s="344"/>
      <c r="J68" s="344"/>
      <c r="K68" s="344"/>
      <c r="L68" s="344"/>
      <c r="M68" s="344"/>
      <c r="N68" s="344"/>
      <c r="O68" s="344"/>
      <c r="P68" s="344"/>
      <c r="Q68" s="344"/>
      <c r="R68" s="344"/>
      <c r="S68" s="344"/>
    </row>
    <row r="69" customFormat="false" ht="13.2" hidden="false" customHeight="false" outlineLevel="0" collapsed="false">
      <c r="A69" s="302" t="n">
        <v>36746</v>
      </c>
      <c r="B69" s="344"/>
      <c r="C69" s="344"/>
      <c r="D69" s="344"/>
      <c r="E69" s="344"/>
      <c r="F69" s="344"/>
      <c r="G69" s="344"/>
      <c r="H69" s="344"/>
      <c r="I69" s="344"/>
      <c r="J69" s="344"/>
      <c r="K69" s="344"/>
      <c r="L69" s="344"/>
      <c r="M69" s="344"/>
      <c r="N69" s="344"/>
      <c r="O69" s="344"/>
      <c r="P69" s="344"/>
      <c r="Q69" s="344"/>
      <c r="R69" s="344"/>
      <c r="S69" s="344"/>
    </row>
    <row r="70" customFormat="false" ht="13.2" hidden="false" customHeight="false" outlineLevel="0" collapsed="false">
      <c r="A70" s="302" t="n">
        <v>36747</v>
      </c>
      <c r="B70" s="344"/>
      <c r="C70" s="344"/>
      <c r="D70" s="344"/>
      <c r="E70" s="344"/>
      <c r="F70" s="344"/>
      <c r="G70" s="344"/>
      <c r="H70" s="344"/>
      <c r="I70" s="344"/>
      <c r="J70" s="344"/>
      <c r="K70" s="344"/>
      <c r="L70" s="344"/>
      <c r="M70" s="344"/>
      <c r="N70" s="344"/>
      <c r="O70" s="344"/>
      <c r="P70" s="344"/>
      <c r="Q70" s="344"/>
      <c r="R70" s="344"/>
      <c r="S70" s="344"/>
    </row>
    <row r="71" customFormat="false" ht="13.2" hidden="false" customHeight="false" outlineLevel="0" collapsed="false">
      <c r="A71" s="302" t="n">
        <v>36748</v>
      </c>
      <c r="B71" s="344"/>
      <c r="C71" s="344"/>
      <c r="D71" s="344"/>
      <c r="E71" s="344"/>
      <c r="F71" s="344"/>
      <c r="G71" s="344"/>
      <c r="H71" s="344"/>
      <c r="I71" s="344"/>
      <c r="J71" s="344"/>
      <c r="K71" s="344"/>
      <c r="L71" s="344"/>
      <c r="M71" s="344"/>
      <c r="N71" s="344"/>
      <c r="O71" s="344"/>
      <c r="P71" s="344"/>
      <c r="Q71" s="344"/>
      <c r="R71" s="344"/>
      <c r="S71" s="344"/>
    </row>
    <row r="72" customFormat="false" ht="13.2" hidden="false" customHeight="false" outlineLevel="0" collapsed="false">
      <c r="A72" s="302" t="n">
        <v>36749</v>
      </c>
      <c r="B72" s="344"/>
      <c r="C72" s="344"/>
      <c r="D72" s="344"/>
      <c r="E72" s="344"/>
      <c r="F72" s="344"/>
      <c r="G72" s="344"/>
      <c r="H72" s="344"/>
      <c r="I72" s="344"/>
      <c r="J72" s="344"/>
      <c r="K72" s="344"/>
      <c r="L72" s="344"/>
      <c r="M72" s="344"/>
      <c r="N72" s="344"/>
      <c r="O72" s="344"/>
      <c r="P72" s="344"/>
      <c r="Q72" s="344"/>
      <c r="R72" s="344"/>
      <c r="S72" s="344"/>
    </row>
    <row r="73" customFormat="false" ht="13.2" hidden="false" customHeight="false" outlineLevel="0" collapsed="false">
      <c r="A73" s="302" t="n">
        <v>36750</v>
      </c>
      <c r="B73" s="344"/>
      <c r="C73" s="344"/>
      <c r="D73" s="344"/>
      <c r="E73" s="344"/>
      <c r="F73" s="344"/>
      <c r="G73" s="344"/>
      <c r="H73" s="344"/>
      <c r="I73" s="344"/>
      <c r="J73" s="344"/>
      <c r="K73" s="344"/>
      <c r="L73" s="344"/>
      <c r="M73" s="344"/>
      <c r="N73" s="344"/>
      <c r="O73" s="344"/>
      <c r="P73" s="344"/>
      <c r="Q73" s="344"/>
      <c r="R73" s="344"/>
      <c r="S73" s="344"/>
    </row>
    <row r="74" customFormat="false" ht="13.2" hidden="false" customHeight="false" outlineLevel="0" collapsed="false">
      <c r="A74" s="302" t="n">
        <v>36751</v>
      </c>
      <c r="B74" s="344"/>
      <c r="C74" s="344"/>
      <c r="D74" s="344"/>
      <c r="E74" s="344"/>
      <c r="F74" s="344"/>
      <c r="G74" s="344"/>
      <c r="H74" s="344"/>
      <c r="I74" s="344"/>
      <c r="J74" s="344"/>
      <c r="K74" s="344"/>
      <c r="L74" s="344"/>
      <c r="M74" s="344"/>
      <c r="N74" s="344"/>
      <c r="O74" s="344"/>
      <c r="P74" s="344"/>
      <c r="Q74" s="344"/>
      <c r="R74" s="344"/>
      <c r="S74" s="344"/>
    </row>
    <row r="75" customFormat="false" ht="13.2" hidden="false" customHeight="false" outlineLevel="0" collapsed="false">
      <c r="A75" s="302" t="s">
        <v>569</v>
      </c>
      <c r="B75" s="344" t="n">
        <f aca="false">SUM(B68:B74)</f>
        <v>0</v>
      </c>
      <c r="C75" s="344" t="n">
        <f aca="false">SUM(C68:C74)</f>
        <v>0</v>
      </c>
      <c r="D75" s="344" t="n">
        <f aca="false">SUM(D68:D74)</f>
        <v>0</v>
      </c>
      <c r="E75" s="344" t="n">
        <f aca="false">SUM(E68:E74)</f>
        <v>0</v>
      </c>
      <c r="F75" s="344" t="n">
        <f aca="false">SUM(F68:F74)</f>
        <v>0</v>
      </c>
      <c r="G75" s="344" t="n">
        <f aca="false">SUM(G68:G74)</f>
        <v>0</v>
      </c>
      <c r="H75" s="344" t="n">
        <f aca="false">SUM(H68:H74)</f>
        <v>0</v>
      </c>
      <c r="I75" s="344" t="n">
        <f aca="false">SUM(I68:I74)</f>
        <v>0</v>
      </c>
      <c r="J75" s="344" t="n">
        <f aca="false">SUM(J68:J74)</f>
        <v>0</v>
      </c>
      <c r="K75" s="344" t="n">
        <f aca="false">SUM(K68:K74)</f>
        <v>0</v>
      </c>
      <c r="L75" s="344" t="n">
        <f aca="false">SUM(L68:L74)</f>
        <v>0</v>
      </c>
      <c r="M75" s="344" t="n">
        <f aca="false">SUM(M68:M74)</f>
        <v>0</v>
      </c>
      <c r="N75" s="344"/>
      <c r="O75" s="344" t="n">
        <f aca="false">SUM(B75:N75)</f>
        <v>0</v>
      </c>
      <c r="P75" s="344"/>
      <c r="Q75" s="344"/>
      <c r="R75" s="344"/>
      <c r="S75" s="344"/>
    </row>
    <row r="76" customFormat="false" ht="13.2" hidden="false" customHeight="false" outlineLevel="0" collapsed="false">
      <c r="A76" s="302" t="s">
        <v>570</v>
      </c>
      <c r="B76" s="344"/>
      <c r="C76" s="344"/>
      <c r="D76" s="344"/>
      <c r="E76" s="344"/>
      <c r="F76" s="344"/>
      <c r="G76" s="344"/>
      <c r="H76" s="344"/>
      <c r="I76" s="344"/>
      <c r="J76" s="344"/>
      <c r="K76" s="344"/>
      <c r="L76" s="344"/>
      <c r="M76" s="344"/>
      <c r="N76" s="344"/>
      <c r="O76" s="344"/>
      <c r="P76" s="344"/>
      <c r="Q76" s="344"/>
      <c r="R76" s="344"/>
      <c r="S76" s="344"/>
    </row>
    <row r="77" customFormat="false" ht="13.2" hidden="false" customHeight="false" outlineLevel="0" collapsed="false">
      <c r="A77" s="302" t="s">
        <v>571</v>
      </c>
      <c r="B77" s="344"/>
      <c r="C77" s="344"/>
      <c r="D77" s="344"/>
      <c r="E77" s="344"/>
      <c r="F77" s="344"/>
      <c r="G77" s="344"/>
      <c r="H77" s="344"/>
      <c r="I77" s="344"/>
      <c r="J77" s="344"/>
      <c r="K77" s="344"/>
      <c r="L77" s="344"/>
      <c r="M77" s="344"/>
      <c r="N77" s="344"/>
      <c r="O77" s="344"/>
      <c r="P77" s="344"/>
      <c r="Q77" s="344"/>
      <c r="R77" s="344"/>
      <c r="S77" s="344"/>
    </row>
    <row r="78" customFormat="false" ht="13.2" hidden="false" customHeight="false" outlineLevel="0" collapsed="false">
      <c r="A78" s="302" t="s">
        <v>572</v>
      </c>
      <c r="B78" s="344"/>
      <c r="C78" s="344"/>
      <c r="D78" s="344"/>
      <c r="E78" s="344"/>
      <c r="F78" s="344"/>
      <c r="G78" s="344"/>
      <c r="H78" s="344"/>
      <c r="I78" s="344"/>
      <c r="J78" s="344"/>
      <c r="K78" s="344"/>
      <c r="L78" s="344"/>
      <c r="M78" s="344"/>
      <c r="N78" s="344"/>
      <c r="O78" s="344"/>
      <c r="P78" s="344"/>
      <c r="Q78" s="344"/>
      <c r="R78" s="344"/>
      <c r="S78" s="344"/>
    </row>
    <row r="79" customFormat="false" ht="13.2" hidden="false" customHeight="false" outlineLevel="0" collapsed="false">
      <c r="B79" s="344"/>
      <c r="C79" s="344"/>
      <c r="D79" s="344"/>
      <c r="E79" s="344"/>
      <c r="F79" s="344"/>
      <c r="G79" s="344"/>
      <c r="H79" s="344"/>
      <c r="I79" s="344"/>
      <c r="J79" s="344"/>
      <c r="K79" s="344"/>
      <c r="L79" s="344"/>
      <c r="M79" s="344"/>
      <c r="N79" s="344"/>
      <c r="O79" s="344"/>
      <c r="P79" s="344"/>
      <c r="Q79" s="344"/>
      <c r="R79" s="344"/>
      <c r="S79" s="344"/>
    </row>
    <row r="80" customFormat="false" ht="13.2" hidden="false" customHeight="false" outlineLevel="0" collapsed="false">
      <c r="B80" s="344"/>
      <c r="C80" s="344"/>
      <c r="D80" s="344"/>
      <c r="E80" s="344"/>
      <c r="F80" s="344"/>
      <c r="G80" s="344"/>
      <c r="H80" s="344"/>
      <c r="I80" s="344"/>
      <c r="J80" s="344"/>
      <c r="K80" s="344"/>
      <c r="L80" s="344"/>
      <c r="M80" s="344"/>
      <c r="N80" s="344"/>
      <c r="O80" s="344"/>
      <c r="P80" s="344"/>
      <c r="Q80" s="344"/>
      <c r="R80" s="344"/>
      <c r="S80" s="344"/>
    </row>
    <row r="81" customFormat="false" ht="13.2" hidden="false" customHeight="false" outlineLevel="0" collapsed="false">
      <c r="B81" s="344"/>
      <c r="C81" s="344"/>
      <c r="D81" s="344"/>
      <c r="E81" s="344"/>
      <c r="F81" s="344"/>
      <c r="G81" s="344"/>
      <c r="H81" s="344"/>
      <c r="I81" s="344"/>
      <c r="J81" s="344"/>
      <c r="K81" s="344"/>
      <c r="L81" s="344"/>
      <c r="M81" s="344"/>
      <c r="N81" s="344"/>
      <c r="O81" s="344"/>
      <c r="P81" s="344"/>
      <c r="Q81" s="344"/>
      <c r="R81" s="344"/>
      <c r="S81" s="344"/>
    </row>
    <row r="82" customFormat="false" ht="13.2" hidden="false" customHeight="false" outlineLevel="0" collapsed="false">
      <c r="B82" s="344"/>
      <c r="C82" s="344"/>
      <c r="D82" s="344"/>
      <c r="E82" s="344"/>
      <c r="F82" s="344"/>
      <c r="G82" s="344"/>
      <c r="H82" s="344"/>
      <c r="I82" s="344"/>
      <c r="J82" s="344"/>
      <c r="K82" s="344"/>
      <c r="L82" s="344"/>
      <c r="M82" s="344"/>
      <c r="N82" s="344"/>
      <c r="O82" s="344"/>
      <c r="P82" s="344"/>
      <c r="Q82" s="344"/>
      <c r="R82" s="344"/>
      <c r="S82" s="344"/>
    </row>
    <row r="83" customFormat="false" ht="13.2" hidden="false" customHeight="false" outlineLevel="0" collapsed="false">
      <c r="A83" s="302" t="s">
        <v>569</v>
      </c>
      <c r="B83" s="344" t="n">
        <f aca="false">SUM(B76:B82)</f>
        <v>0</v>
      </c>
      <c r="C83" s="344" t="n">
        <f aca="false">SUM(C76:C82)</f>
        <v>0</v>
      </c>
      <c r="D83" s="344" t="n">
        <f aca="false">SUM(D76:D82)</f>
        <v>0</v>
      </c>
      <c r="E83" s="344" t="n">
        <f aca="false">SUM(E76:E82)</f>
        <v>0</v>
      </c>
      <c r="F83" s="344" t="n">
        <f aca="false">SUM(F76:F82)</f>
        <v>0</v>
      </c>
      <c r="G83" s="344" t="n">
        <f aca="false">SUM(G76:G82)</f>
        <v>0</v>
      </c>
      <c r="H83" s="344" t="n">
        <f aca="false">SUM(H76:H82)</f>
        <v>0</v>
      </c>
      <c r="I83" s="344" t="n">
        <f aca="false">SUM(I76:I82)</f>
        <v>0</v>
      </c>
      <c r="J83" s="344" t="n">
        <f aca="false">SUM(J76:J82)</f>
        <v>0</v>
      </c>
      <c r="K83" s="344" t="n">
        <f aca="false">SUM(K76:K82)</f>
        <v>0</v>
      </c>
      <c r="L83" s="344" t="n">
        <f aca="false">SUM(L76:L82)</f>
        <v>0</v>
      </c>
      <c r="M83" s="344" t="n">
        <f aca="false">SUM(M76:M82)</f>
        <v>0</v>
      </c>
      <c r="N83" s="344" t="n">
        <f aca="false">SUM(N76:N82)</f>
        <v>0</v>
      </c>
      <c r="O83" s="353" t="n">
        <f aca="false">SUM(B83:N83)</f>
        <v>0</v>
      </c>
      <c r="P83" s="353"/>
      <c r="Q83" s="353"/>
      <c r="R83" s="344"/>
      <c r="S83" s="344"/>
    </row>
    <row r="84" customFormat="false" ht="13.2" hidden="false" customHeight="false" outlineLevel="0" collapsed="false">
      <c r="B84" s="344"/>
      <c r="C84" s="344"/>
      <c r="D84" s="344"/>
      <c r="E84" s="344"/>
      <c r="F84" s="344"/>
      <c r="G84" s="344"/>
      <c r="H84" s="344"/>
      <c r="I84" s="344"/>
      <c r="J84" s="344"/>
      <c r="K84" s="344"/>
      <c r="L84" s="344"/>
      <c r="M84" s="344"/>
      <c r="N84" s="344"/>
      <c r="O84" s="344" t="n">
        <f aca="false">SUM(O5:O83)</f>
        <v>2077.5</v>
      </c>
      <c r="P84" s="344" t="n">
        <f aca="false">SUM(P5:P83)</f>
        <v>118</v>
      </c>
      <c r="Q84" s="344"/>
      <c r="R84" s="344"/>
      <c r="S84" s="344"/>
    </row>
    <row r="85" customFormat="false" ht="13.2" hidden="false" customHeight="false" outlineLevel="0" collapsed="false">
      <c r="A85" s="302" t="s">
        <v>573</v>
      </c>
      <c r="B85" s="344" t="n">
        <f aca="false">SUM(B83,B75,B67,B59,B51,B43,B35,B27,B19,B11)</f>
        <v>622</v>
      </c>
      <c r="C85" s="344" t="n">
        <f aca="false">SUM(C83,C75,C67,C59,C51,C43,C35,C27,C19,C11)</f>
        <v>480.5</v>
      </c>
      <c r="D85" s="344" t="n">
        <f aca="false">SUM(D83,D75,D67,D59,D51,D43,D35,D27,D19,D11)</f>
        <v>453</v>
      </c>
      <c r="E85" s="344" t="n">
        <f aca="false">SUM(E83,E75,E67,E59,E51,E43,E35,E27,E19,E11)</f>
        <v>66</v>
      </c>
      <c r="F85" s="344" t="n">
        <f aca="false">SUM(F83,F75,F67,F59,F51,F43,F35,F27,F19,F11)</f>
        <v>75</v>
      </c>
      <c r="G85" s="344" t="n">
        <f aca="false">SUM(G83,G75,G67,G59,G51,G43,G35,G27,G19,G11)</f>
        <v>226</v>
      </c>
      <c r="H85" s="344" t="n">
        <f aca="false">SUM(H83,H75,H67,H59,H51,H43,H35,H27,H19,H11)</f>
        <v>4</v>
      </c>
      <c r="I85" s="344" t="n">
        <f aca="false">SUM(I83,I75,I67,I59,I51,I43,I35,I27,I19,I11)</f>
        <v>106</v>
      </c>
      <c r="J85" s="344" t="n">
        <f aca="false">SUM(J83,J75,J67,J59,J51,J43,J35,J27,J19,J11)</f>
        <v>45</v>
      </c>
      <c r="K85" s="344" t="n">
        <f aca="false">SUM(K83,K75,K67,K59,K51,K43,K35,K27,K19,K11)</f>
        <v>0</v>
      </c>
      <c r="L85" s="344" t="n">
        <f aca="false">SUM(L83,L75,L67,L59,L51,L43,L35,L27,L19,L11)</f>
        <v>0</v>
      </c>
      <c r="M85" s="344" t="n">
        <f aca="false">SUM(M83,M75,M67,M59,M51,M43,M35,M27,M19,M11)</f>
        <v>0</v>
      </c>
      <c r="N85" s="344" t="n">
        <f aca="false">SUM(N83,N75,N67,N59,N51,N43,N35,N27,N19,N11)</f>
        <v>0</v>
      </c>
      <c r="O85" s="344" t="n">
        <f aca="false">SUM(B85:N85)</f>
        <v>2077.5</v>
      </c>
      <c r="P85" s="344"/>
      <c r="Q85" s="346" t="n">
        <f aca="false">SUM(Q6:Q83)</f>
        <v>1174.5</v>
      </c>
      <c r="R85" s="344"/>
      <c r="S85" s="344"/>
    </row>
    <row r="86" customFormat="false" ht="13.2" hidden="false" customHeight="false" outlineLevel="0" collapsed="false">
      <c r="B86" s="344"/>
      <c r="C86" s="344"/>
      <c r="D86" s="344"/>
      <c r="E86" s="344"/>
      <c r="F86" s="344"/>
      <c r="G86" s="344"/>
      <c r="H86" s="344"/>
      <c r="I86" s="344"/>
      <c r="J86" s="344"/>
      <c r="K86" s="344"/>
      <c r="L86" s="344"/>
      <c r="M86" s="344"/>
      <c r="N86" s="344"/>
      <c r="O86" s="344"/>
      <c r="P86" s="344"/>
      <c r="Q86" s="344"/>
      <c r="R86" s="344"/>
      <c r="S86" s="344"/>
    </row>
    <row r="87" customFormat="false" ht="13.2" hidden="false" customHeight="false" outlineLevel="0" collapsed="false">
      <c r="B87" s="344"/>
      <c r="C87" s="344"/>
      <c r="D87" s="344"/>
      <c r="E87" s="344"/>
      <c r="F87" s="344"/>
      <c r="G87" s="344"/>
      <c r="H87" s="344"/>
      <c r="I87" s="344"/>
      <c r="J87" s="344"/>
      <c r="K87" s="344"/>
      <c r="L87" s="344"/>
      <c r="M87" s="344"/>
      <c r="N87" s="344"/>
      <c r="O87" s="344"/>
      <c r="P87" s="344"/>
      <c r="Q87" s="344"/>
      <c r="R87" s="344"/>
      <c r="S87" s="344"/>
    </row>
    <row r="88" customFormat="false" ht="13.2" hidden="false" customHeight="false" outlineLevel="0" collapsed="false">
      <c r="B88" s="344"/>
      <c r="C88" s="344"/>
      <c r="D88" s="344"/>
      <c r="E88" s="344"/>
      <c r="F88" s="344"/>
      <c r="G88" s="344"/>
      <c r="H88" s="344"/>
      <c r="I88" s="344"/>
      <c r="J88" s="344"/>
      <c r="K88" s="344"/>
      <c r="L88" s="344"/>
      <c r="M88" s="344"/>
      <c r="N88" s="344"/>
      <c r="O88" s="344"/>
      <c r="P88" s="344"/>
      <c r="Q88" s="344"/>
      <c r="R88" s="344"/>
      <c r="S88" s="344"/>
    </row>
    <row r="89" customFormat="false" ht="13.2" hidden="false" customHeight="false" outlineLevel="0" collapsed="false">
      <c r="B89" s="344"/>
      <c r="C89" s="344"/>
      <c r="D89" s="344"/>
      <c r="E89" s="344"/>
      <c r="F89" s="344"/>
      <c r="G89" s="344"/>
      <c r="H89" s="344"/>
      <c r="I89" s="344"/>
      <c r="J89" s="344"/>
      <c r="K89" s="344"/>
      <c r="L89" s="344"/>
      <c r="M89" s="344"/>
      <c r="N89" s="344"/>
      <c r="O89" s="344"/>
      <c r="P89" s="344"/>
      <c r="Q89" s="344"/>
      <c r="R89" s="344"/>
      <c r="S89" s="344"/>
    </row>
    <row r="90" customFormat="false" ht="13.2" hidden="false" customHeight="false" outlineLevel="0" collapsed="false">
      <c r="B90" s="344"/>
      <c r="C90" s="344"/>
      <c r="D90" s="344"/>
      <c r="E90" s="344"/>
      <c r="F90" s="344"/>
      <c r="G90" s="344"/>
      <c r="H90" s="344"/>
      <c r="I90" s="344"/>
      <c r="J90" s="344"/>
      <c r="K90" s="344"/>
      <c r="L90" s="344"/>
      <c r="M90" s="344"/>
      <c r="N90" s="344"/>
      <c r="O90" s="344"/>
      <c r="P90" s="344"/>
      <c r="Q90" s="344"/>
      <c r="R90" s="344"/>
      <c r="S90" s="344"/>
    </row>
    <row r="91" customFormat="false" ht="13.2" hidden="false" customHeight="false" outlineLevel="0" collapsed="false">
      <c r="B91" s="344"/>
      <c r="C91" s="344"/>
      <c r="D91" s="344"/>
      <c r="E91" s="344"/>
      <c r="F91" s="344"/>
      <c r="G91" s="344"/>
      <c r="H91" s="344"/>
      <c r="I91" s="344"/>
      <c r="J91" s="344"/>
      <c r="K91" s="344"/>
      <c r="L91" s="344"/>
      <c r="M91" s="344"/>
      <c r="N91" s="344"/>
      <c r="O91" s="344"/>
      <c r="P91" s="344"/>
      <c r="Q91" s="344"/>
      <c r="R91" s="344"/>
      <c r="S91" s="344"/>
    </row>
    <row r="92" customFormat="false" ht="13.2" hidden="false" customHeight="false" outlineLevel="0" collapsed="false">
      <c r="B92" s="344"/>
      <c r="C92" s="344"/>
      <c r="D92" s="344"/>
      <c r="E92" s="344"/>
      <c r="F92" s="344"/>
      <c r="G92" s="344"/>
      <c r="H92" s="344"/>
      <c r="I92" s="344"/>
      <c r="J92" s="344"/>
      <c r="K92" s="344"/>
      <c r="L92" s="344"/>
      <c r="M92" s="344"/>
      <c r="N92" s="344"/>
      <c r="O92" s="344"/>
      <c r="P92" s="344"/>
      <c r="Q92" s="344"/>
      <c r="R92" s="344"/>
      <c r="S92" s="344"/>
    </row>
    <row r="93" customFormat="false" ht="13.2" hidden="false" customHeight="false" outlineLevel="0" collapsed="false">
      <c r="B93" s="344"/>
      <c r="C93" s="344"/>
      <c r="D93" s="344"/>
      <c r="E93" s="344"/>
      <c r="F93" s="344"/>
      <c r="G93" s="344"/>
      <c r="H93" s="344"/>
      <c r="I93" s="344"/>
      <c r="J93" s="344"/>
      <c r="K93" s="344"/>
      <c r="L93" s="344"/>
      <c r="M93" s="344"/>
      <c r="N93" s="344"/>
      <c r="O93" s="344"/>
      <c r="P93" s="344"/>
      <c r="Q93" s="344"/>
      <c r="R93" s="344"/>
      <c r="S93" s="344"/>
    </row>
    <row r="94" customFormat="false" ht="13.2" hidden="false" customHeight="false" outlineLevel="0" collapsed="false">
      <c r="B94" s="344"/>
      <c r="C94" s="344"/>
      <c r="D94" s="344"/>
      <c r="E94" s="344"/>
      <c r="F94" s="344"/>
      <c r="G94" s="344"/>
      <c r="H94" s="344"/>
      <c r="I94" s="344"/>
      <c r="J94" s="344"/>
      <c r="K94" s="344"/>
      <c r="L94" s="344"/>
      <c r="M94" s="344"/>
      <c r="N94" s="344"/>
      <c r="O94" s="344"/>
      <c r="P94" s="344"/>
      <c r="Q94" s="344"/>
      <c r="R94" s="344"/>
      <c r="S94" s="344"/>
    </row>
    <row r="95" customFormat="false" ht="13.2" hidden="false" customHeight="false" outlineLevel="0" collapsed="false">
      <c r="B95" s="344"/>
      <c r="C95" s="344"/>
      <c r="D95" s="344"/>
      <c r="E95" s="344"/>
      <c r="F95" s="344"/>
      <c r="G95" s="344"/>
      <c r="H95" s="344"/>
      <c r="I95" s="344"/>
      <c r="J95" s="344"/>
      <c r="K95" s="344"/>
      <c r="L95" s="344"/>
      <c r="M95" s="344"/>
      <c r="N95" s="344"/>
      <c r="O95" s="344"/>
      <c r="P95" s="344"/>
      <c r="Q95" s="344"/>
      <c r="R95" s="344"/>
      <c r="S95" s="344"/>
    </row>
    <row r="96" customFormat="false" ht="13.2" hidden="false" customHeight="false" outlineLevel="0" collapsed="false">
      <c r="B96" s="344"/>
      <c r="C96" s="344"/>
      <c r="D96" s="344"/>
      <c r="E96" s="344"/>
      <c r="F96" s="344"/>
      <c r="G96" s="344"/>
      <c r="H96" s="344"/>
      <c r="I96" s="344"/>
      <c r="J96" s="344"/>
      <c r="K96" s="344"/>
      <c r="L96" s="344"/>
      <c r="M96" s="344"/>
      <c r="N96" s="344"/>
      <c r="O96" s="344"/>
      <c r="P96" s="344"/>
      <c r="Q96" s="344"/>
      <c r="R96" s="344"/>
      <c r="S96" s="344"/>
    </row>
    <row r="97" customFormat="false" ht="13.2" hidden="false" customHeight="false" outlineLevel="0" collapsed="false">
      <c r="B97" s="344"/>
      <c r="C97" s="344"/>
      <c r="D97" s="344"/>
      <c r="E97" s="344"/>
      <c r="F97" s="344"/>
      <c r="G97" s="344"/>
      <c r="H97" s="344"/>
      <c r="I97" s="344"/>
      <c r="J97" s="344"/>
      <c r="K97" s="344"/>
      <c r="L97" s="344"/>
      <c r="M97" s="344"/>
      <c r="N97" s="344"/>
      <c r="O97" s="344"/>
      <c r="P97" s="344"/>
      <c r="Q97" s="344"/>
      <c r="R97" s="344"/>
      <c r="S97" s="344"/>
    </row>
    <row r="98" customFormat="false" ht="13.2" hidden="false" customHeight="false" outlineLevel="0" collapsed="false">
      <c r="B98" s="344"/>
      <c r="C98" s="344"/>
      <c r="D98" s="344"/>
      <c r="E98" s="344"/>
      <c r="F98" s="344"/>
      <c r="G98" s="344"/>
      <c r="H98" s="344"/>
      <c r="I98" s="344"/>
      <c r="J98" s="344"/>
      <c r="K98" s="344"/>
      <c r="L98" s="344"/>
      <c r="M98" s="344"/>
      <c r="N98" s="344"/>
      <c r="O98" s="344"/>
      <c r="P98" s="344"/>
      <c r="Q98" s="344"/>
      <c r="R98" s="344"/>
      <c r="S98" s="344"/>
    </row>
    <row r="99" customFormat="false" ht="13.2" hidden="false" customHeight="false" outlineLevel="0" collapsed="false">
      <c r="B99" s="344"/>
      <c r="C99" s="344"/>
      <c r="D99" s="344"/>
      <c r="E99" s="344"/>
      <c r="F99" s="344"/>
      <c r="G99" s="344"/>
      <c r="H99" s="344"/>
      <c r="I99" s="344"/>
      <c r="J99" s="344"/>
      <c r="K99" s="344"/>
      <c r="L99" s="344"/>
      <c r="M99" s="344"/>
      <c r="N99" s="344"/>
      <c r="O99" s="344"/>
      <c r="P99" s="344"/>
      <c r="Q99" s="344"/>
      <c r="R99" s="344"/>
      <c r="S99" s="344"/>
    </row>
    <row r="100" customFormat="false" ht="13.2" hidden="false" customHeight="false" outlineLevel="0" collapsed="false">
      <c r="B100" s="344"/>
      <c r="C100" s="344"/>
      <c r="D100" s="344"/>
      <c r="E100" s="344"/>
      <c r="F100" s="344"/>
      <c r="G100" s="344"/>
      <c r="H100" s="344"/>
      <c r="I100" s="344"/>
      <c r="J100" s="344"/>
      <c r="K100" s="344"/>
      <c r="L100" s="344"/>
      <c r="M100" s="344"/>
      <c r="N100" s="344"/>
      <c r="O100" s="344"/>
      <c r="P100" s="344"/>
      <c r="Q100" s="344"/>
      <c r="R100" s="344"/>
      <c r="S100" s="344"/>
    </row>
    <row r="101" customFormat="false" ht="13.2" hidden="false" customHeight="false" outlineLevel="0" collapsed="false">
      <c r="B101" s="344"/>
      <c r="C101" s="344"/>
      <c r="D101" s="344"/>
      <c r="E101" s="344"/>
      <c r="F101" s="344"/>
      <c r="G101" s="344"/>
      <c r="H101" s="344"/>
      <c r="I101" s="344"/>
      <c r="J101" s="344"/>
      <c r="K101" s="344"/>
      <c r="L101" s="344"/>
      <c r="M101" s="344"/>
      <c r="N101" s="344"/>
      <c r="O101" s="344"/>
      <c r="P101" s="344"/>
      <c r="Q101" s="344"/>
      <c r="R101" s="344"/>
      <c r="S101" s="344"/>
    </row>
    <row r="102" customFormat="false" ht="13.2" hidden="false" customHeight="false" outlineLevel="0" collapsed="false">
      <c r="B102" s="344"/>
      <c r="C102" s="344"/>
      <c r="D102" s="344"/>
      <c r="E102" s="344"/>
      <c r="F102" s="344"/>
      <c r="G102" s="344"/>
      <c r="H102" s="344"/>
      <c r="I102" s="344"/>
      <c r="J102" s="344"/>
      <c r="K102" s="344"/>
      <c r="L102" s="344"/>
      <c r="M102" s="344"/>
      <c r="N102" s="344"/>
      <c r="O102" s="344"/>
      <c r="P102" s="344"/>
      <c r="Q102" s="344"/>
      <c r="R102" s="344"/>
      <c r="S102" s="344"/>
    </row>
    <row r="103" customFormat="false" ht="13.2" hidden="false" customHeight="false" outlineLevel="0" collapsed="false">
      <c r="B103" s="344"/>
      <c r="C103" s="344"/>
      <c r="D103" s="344"/>
      <c r="E103" s="344"/>
      <c r="F103" s="344"/>
      <c r="G103" s="344"/>
      <c r="H103" s="344"/>
      <c r="I103" s="344"/>
      <c r="J103" s="344"/>
      <c r="K103" s="344"/>
      <c r="L103" s="344"/>
      <c r="M103" s="344"/>
      <c r="N103" s="344"/>
      <c r="O103" s="344"/>
      <c r="P103" s="344"/>
      <c r="Q103" s="344"/>
      <c r="R103" s="344"/>
      <c r="S103" s="344"/>
    </row>
    <row r="104" customFormat="false" ht="13.2" hidden="false" customHeight="false" outlineLevel="0" collapsed="false">
      <c r="B104" s="344"/>
      <c r="C104" s="344"/>
      <c r="D104" s="344"/>
      <c r="E104" s="344"/>
      <c r="F104" s="344"/>
      <c r="G104" s="344"/>
      <c r="H104" s="344"/>
      <c r="I104" s="344"/>
      <c r="J104" s="344"/>
      <c r="K104" s="344"/>
      <c r="L104" s="344"/>
      <c r="M104" s="344"/>
      <c r="N104" s="344"/>
      <c r="O104" s="344"/>
      <c r="P104" s="344"/>
      <c r="Q104" s="344"/>
      <c r="R104" s="344"/>
      <c r="S104" s="344"/>
    </row>
    <row r="105" customFormat="false" ht="13.2" hidden="false" customHeight="false" outlineLevel="0" collapsed="false">
      <c r="B105" s="344"/>
      <c r="C105" s="344"/>
      <c r="D105" s="344"/>
      <c r="E105" s="344"/>
      <c r="F105" s="344"/>
      <c r="G105" s="344"/>
      <c r="H105" s="344"/>
      <c r="I105" s="344"/>
      <c r="J105" s="344"/>
      <c r="K105" s="344"/>
      <c r="L105" s="344"/>
      <c r="M105" s="344"/>
      <c r="N105" s="344"/>
      <c r="O105" s="344"/>
      <c r="P105" s="344"/>
      <c r="Q105" s="344"/>
      <c r="R105" s="344"/>
      <c r="S105" s="344"/>
    </row>
    <row r="106" customFormat="false" ht="13.2" hidden="false" customHeight="false" outlineLevel="0" collapsed="false">
      <c r="B106" s="344"/>
      <c r="C106" s="344"/>
      <c r="D106" s="344"/>
      <c r="E106" s="344"/>
      <c r="F106" s="344"/>
      <c r="G106" s="344"/>
      <c r="H106" s="344"/>
      <c r="I106" s="344"/>
      <c r="J106" s="344"/>
      <c r="K106" s="344"/>
      <c r="L106" s="344"/>
      <c r="M106" s="344"/>
      <c r="N106" s="344"/>
      <c r="O106" s="344"/>
      <c r="P106" s="344"/>
      <c r="Q106" s="344"/>
      <c r="R106" s="344"/>
      <c r="S106" s="344"/>
    </row>
    <row r="107" customFormat="false" ht="13.2" hidden="false" customHeight="false" outlineLevel="0" collapsed="false">
      <c r="B107" s="344"/>
      <c r="C107" s="344"/>
      <c r="D107" s="344"/>
      <c r="E107" s="344"/>
      <c r="F107" s="344"/>
      <c r="G107" s="344"/>
      <c r="H107" s="344"/>
      <c r="I107" s="344"/>
      <c r="J107" s="344"/>
      <c r="K107" s="344"/>
      <c r="L107" s="344"/>
      <c r="M107" s="344"/>
      <c r="N107" s="344"/>
      <c r="O107" s="344"/>
      <c r="P107" s="344"/>
      <c r="Q107" s="344"/>
      <c r="R107" s="344"/>
      <c r="S107" s="344"/>
    </row>
    <row r="108" customFormat="false" ht="13.2" hidden="false" customHeight="false" outlineLevel="0" collapsed="false">
      <c r="B108" s="344"/>
      <c r="C108" s="344"/>
      <c r="D108" s="344"/>
      <c r="E108" s="344"/>
      <c r="F108" s="344"/>
      <c r="G108" s="344"/>
      <c r="H108" s="344"/>
      <c r="I108" s="344"/>
      <c r="J108" s="344"/>
      <c r="K108" s="344"/>
      <c r="L108" s="344"/>
      <c r="M108" s="344"/>
      <c r="N108" s="344"/>
      <c r="O108" s="344"/>
      <c r="P108" s="344"/>
      <c r="Q108" s="344"/>
      <c r="R108" s="344"/>
      <c r="S108" s="344"/>
    </row>
    <row r="109" customFormat="false" ht="13.2" hidden="false" customHeight="false" outlineLevel="0" collapsed="false">
      <c r="B109" s="344"/>
      <c r="C109" s="344"/>
      <c r="D109" s="344"/>
      <c r="E109" s="344"/>
      <c r="F109" s="344"/>
      <c r="G109" s="344"/>
      <c r="H109" s="344"/>
      <c r="I109" s="344"/>
      <c r="J109" s="344"/>
      <c r="K109" s="344"/>
      <c r="L109" s="344"/>
      <c r="M109" s="344"/>
      <c r="N109" s="344"/>
      <c r="O109" s="344"/>
      <c r="P109" s="344"/>
      <c r="Q109" s="344"/>
      <c r="R109" s="344"/>
      <c r="S109" s="344"/>
    </row>
    <row r="110" customFormat="false" ht="13.2" hidden="false" customHeight="false" outlineLevel="0" collapsed="false">
      <c r="B110" s="344"/>
      <c r="C110" s="344"/>
      <c r="D110" s="344"/>
      <c r="E110" s="344"/>
      <c r="F110" s="344"/>
      <c r="G110" s="344"/>
      <c r="H110" s="344"/>
      <c r="I110" s="344"/>
      <c r="J110" s="344"/>
      <c r="K110" s="344"/>
      <c r="L110" s="344"/>
      <c r="M110" s="344"/>
      <c r="N110" s="344"/>
      <c r="O110" s="344"/>
      <c r="P110" s="344"/>
      <c r="Q110" s="344"/>
      <c r="R110" s="344"/>
      <c r="S110" s="344"/>
    </row>
    <row r="111" customFormat="false" ht="13.2" hidden="false" customHeight="false" outlineLevel="0" collapsed="false">
      <c r="B111" s="344"/>
      <c r="C111" s="344"/>
      <c r="D111" s="344"/>
      <c r="E111" s="344"/>
      <c r="F111" s="344"/>
      <c r="G111" s="344"/>
      <c r="H111" s="344"/>
      <c r="I111" s="344"/>
      <c r="J111" s="344"/>
      <c r="K111" s="344"/>
      <c r="L111" s="344"/>
      <c r="M111" s="344"/>
      <c r="N111" s="344"/>
      <c r="O111" s="344"/>
      <c r="P111" s="344"/>
      <c r="Q111" s="344"/>
      <c r="R111" s="344"/>
      <c r="S111" s="344"/>
    </row>
    <row r="112" customFormat="false" ht="13.2" hidden="false" customHeight="false" outlineLevel="0" collapsed="false">
      <c r="B112" s="344"/>
      <c r="C112" s="344"/>
      <c r="D112" s="344"/>
      <c r="E112" s="344"/>
      <c r="F112" s="344"/>
      <c r="G112" s="344"/>
      <c r="H112" s="344"/>
      <c r="I112" s="344"/>
      <c r="J112" s="344"/>
      <c r="K112" s="344"/>
      <c r="L112" s="344"/>
      <c r="M112" s="344"/>
      <c r="N112" s="344"/>
      <c r="O112" s="344"/>
      <c r="P112" s="344"/>
      <c r="Q112" s="344"/>
      <c r="R112" s="344"/>
      <c r="S112" s="344"/>
    </row>
    <row r="113" customFormat="false" ht="13.2" hidden="false" customHeight="false" outlineLevel="0" collapsed="false">
      <c r="B113" s="344"/>
      <c r="C113" s="344"/>
      <c r="D113" s="344"/>
      <c r="E113" s="344"/>
      <c r="F113" s="344"/>
      <c r="G113" s="344"/>
      <c r="H113" s="344"/>
      <c r="I113" s="344"/>
      <c r="J113" s="344"/>
      <c r="K113" s="344"/>
      <c r="L113" s="344"/>
      <c r="M113" s="344"/>
      <c r="N113" s="344"/>
      <c r="O113" s="344"/>
      <c r="P113" s="344"/>
      <c r="Q113" s="344"/>
      <c r="R113" s="344"/>
      <c r="S113" s="344"/>
    </row>
    <row r="114" customFormat="false" ht="13.2" hidden="false" customHeight="false" outlineLevel="0" collapsed="false">
      <c r="B114" s="344"/>
      <c r="C114" s="344"/>
      <c r="D114" s="344"/>
      <c r="E114" s="344"/>
      <c r="F114" s="344"/>
      <c r="G114" s="344"/>
      <c r="H114" s="344"/>
      <c r="I114" s="344"/>
      <c r="J114" s="344"/>
      <c r="K114" s="344"/>
      <c r="L114" s="344"/>
      <c r="M114" s="344"/>
      <c r="N114" s="344"/>
      <c r="O114" s="344"/>
      <c r="P114" s="344"/>
      <c r="Q114" s="344"/>
      <c r="R114" s="344"/>
      <c r="S114" s="344"/>
    </row>
    <row r="115" customFormat="false" ht="13.2" hidden="false" customHeight="false" outlineLevel="0" collapsed="false">
      <c r="B115" s="344"/>
      <c r="C115" s="344"/>
      <c r="D115" s="344"/>
      <c r="E115" s="344"/>
      <c r="F115" s="344"/>
      <c r="G115" s="344"/>
      <c r="H115" s="344"/>
      <c r="I115" s="344"/>
      <c r="J115" s="344"/>
      <c r="K115" s="344"/>
      <c r="L115" s="344"/>
      <c r="M115" s="344"/>
      <c r="N115" s="344"/>
      <c r="O115" s="344"/>
      <c r="P115" s="344"/>
      <c r="Q115" s="344"/>
      <c r="R115" s="344"/>
      <c r="S115" s="344"/>
    </row>
    <row r="116" customFormat="false" ht="13.2" hidden="false" customHeight="false" outlineLevel="0" collapsed="false">
      <c r="B116" s="344"/>
      <c r="C116" s="344"/>
      <c r="D116" s="344"/>
      <c r="E116" s="344"/>
      <c r="F116" s="344"/>
      <c r="G116" s="344"/>
      <c r="H116" s="344"/>
      <c r="I116" s="344"/>
      <c r="J116" s="344"/>
      <c r="K116" s="344"/>
      <c r="L116" s="344"/>
      <c r="M116" s="344"/>
      <c r="N116" s="344"/>
      <c r="O116" s="344"/>
      <c r="P116" s="344"/>
      <c r="Q116" s="344"/>
      <c r="R116" s="344"/>
      <c r="S116" s="344"/>
    </row>
    <row r="117" customFormat="false" ht="13.2" hidden="false" customHeight="false" outlineLevel="0" collapsed="false">
      <c r="B117" s="344"/>
      <c r="C117" s="344"/>
      <c r="D117" s="344"/>
      <c r="E117" s="344"/>
      <c r="F117" s="344"/>
      <c r="G117" s="344"/>
      <c r="H117" s="344"/>
      <c r="I117" s="344"/>
      <c r="J117" s="344"/>
      <c r="K117" s="344"/>
      <c r="L117" s="344"/>
      <c r="M117" s="344"/>
      <c r="N117" s="344"/>
      <c r="O117" s="344"/>
      <c r="P117" s="344"/>
      <c r="Q117" s="344"/>
      <c r="R117" s="344"/>
      <c r="S117" s="344"/>
    </row>
    <row r="118" customFormat="false" ht="13.2" hidden="false" customHeight="false" outlineLevel="0" collapsed="false">
      <c r="B118" s="344"/>
      <c r="C118" s="344"/>
      <c r="D118" s="344"/>
      <c r="E118" s="344"/>
      <c r="F118" s="344"/>
      <c r="G118" s="344"/>
      <c r="H118" s="344"/>
      <c r="I118" s="344"/>
      <c r="J118" s="344"/>
      <c r="K118" s="344"/>
      <c r="L118" s="344"/>
      <c r="M118" s="344"/>
      <c r="N118" s="344"/>
      <c r="O118" s="344"/>
      <c r="P118" s="344"/>
      <c r="Q118" s="344"/>
      <c r="R118" s="344"/>
      <c r="S118" s="344"/>
    </row>
    <row r="119" customFormat="false" ht="13.2" hidden="false" customHeight="false" outlineLevel="0" collapsed="false">
      <c r="B119" s="344"/>
      <c r="C119" s="344"/>
      <c r="D119" s="344"/>
      <c r="E119" s="344"/>
      <c r="F119" s="344"/>
      <c r="G119" s="344"/>
      <c r="H119" s="344"/>
      <c r="I119" s="344"/>
      <c r="J119" s="344"/>
      <c r="K119" s="344"/>
      <c r="L119" s="344"/>
      <c r="M119" s="344"/>
      <c r="N119" s="344"/>
      <c r="O119" s="344"/>
      <c r="P119" s="344"/>
      <c r="Q119" s="344"/>
      <c r="R119" s="344"/>
      <c r="S119" s="344"/>
    </row>
    <row r="120" customFormat="false" ht="13.2" hidden="false" customHeight="false" outlineLevel="0" collapsed="false">
      <c r="B120" s="344"/>
      <c r="C120" s="344"/>
      <c r="D120" s="344"/>
      <c r="E120" s="344"/>
      <c r="F120" s="344"/>
      <c r="G120" s="344"/>
      <c r="H120" s="344"/>
      <c r="I120" s="344"/>
      <c r="J120" s="344"/>
      <c r="K120" s="344"/>
      <c r="L120" s="344"/>
      <c r="M120" s="344"/>
      <c r="N120" s="344"/>
      <c r="O120" s="344"/>
      <c r="P120" s="344"/>
      <c r="Q120" s="344"/>
      <c r="R120" s="344"/>
      <c r="S120" s="344"/>
    </row>
    <row r="121" customFormat="false" ht="13.2" hidden="false" customHeight="false" outlineLevel="0" collapsed="false">
      <c r="B121" s="344"/>
      <c r="C121" s="344"/>
      <c r="D121" s="344"/>
      <c r="E121" s="344"/>
      <c r="F121" s="344"/>
      <c r="G121" s="344"/>
      <c r="H121" s="344"/>
      <c r="I121" s="344"/>
      <c r="J121" s="344"/>
      <c r="K121" s="344"/>
      <c r="L121" s="344"/>
      <c r="M121" s="344"/>
      <c r="N121" s="344"/>
      <c r="O121" s="344"/>
      <c r="P121" s="344"/>
      <c r="Q121" s="344"/>
      <c r="R121" s="344"/>
      <c r="S121" s="344"/>
    </row>
    <row r="122" customFormat="false" ht="13.2" hidden="false" customHeight="false" outlineLevel="0" collapsed="false">
      <c r="B122" s="344"/>
      <c r="C122" s="344"/>
      <c r="D122" s="344"/>
      <c r="E122" s="344"/>
      <c r="F122" s="344"/>
      <c r="G122" s="344"/>
      <c r="H122" s="344"/>
      <c r="I122" s="344"/>
      <c r="J122" s="344"/>
      <c r="K122" s="344"/>
      <c r="L122" s="344"/>
      <c r="M122" s="344"/>
      <c r="N122" s="344"/>
      <c r="O122" s="344"/>
      <c r="P122" s="344"/>
      <c r="Q122" s="344"/>
      <c r="R122" s="344"/>
      <c r="S122" s="344"/>
    </row>
    <row r="123" customFormat="false" ht="13.2" hidden="false" customHeight="false" outlineLevel="0" collapsed="false">
      <c r="B123" s="344"/>
      <c r="C123" s="344"/>
      <c r="D123" s="344"/>
      <c r="E123" s="344"/>
      <c r="F123" s="344"/>
      <c r="G123" s="344"/>
      <c r="H123" s="344"/>
      <c r="I123" s="344"/>
      <c r="J123" s="344"/>
      <c r="K123" s="344"/>
      <c r="L123" s="344"/>
      <c r="M123" s="344"/>
      <c r="N123" s="344"/>
      <c r="O123" s="344"/>
      <c r="P123" s="344"/>
      <c r="Q123" s="344"/>
      <c r="R123" s="344"/>
      <c r="S123" s="344"/>
    </row>
    <row r="124" customFormat="false" ht="13.2" hidden="false" customHeight="false" outlineLevel="0" collapsed="false">
      <c r="B124" s="344"/>
      <c r="C124" s="344"/>
      <c r="D124" s="344"/>
      <c r="E124" s="344"/>
      <c r="F124" s="344"/>
      <c r="G124" s="344"/>
      <c r="H124" s="344"/>
      <c r="I124" s="344"/>
      <c r="J124" s="344"/>
      <c r="K124" s="344"/>
      <c r="L124" s="344"/>
      <c r="M124" s="344"/>
      <c r="N124" s="344"/>
      <c r="O124" s="344"/>
      <c r="P124" s="344"/>
      <c r="Q124" s="344"/>
      <c r="R124" s="344"/>
      <c r="S124" s="344"/>
    </row>
    <row r="125" customFormat="false" ht="13.2" hidden="false" customHeight="false" outlineLevel="0" collapsed="false">
      <c r="B125" s="344"/>
      <c r="C125" s="344"/>
      <c r="D125" s="344"/>
      <c r="E125" s="344"/>
      <c r="F125" s="344"/>
      <c r="G125" s="344"/>
      <c r="H125" s="344"/>
      <c r="I125" s="344"/>
      <c r="J125" s="344"/>
      <c r="K125" s="344"/>
      <c r="L125" s="344"/>
      <c r="M125" s="344"/>
      <c r="N125" s="344"/>
      <c r="O125" s="344"/>
      <c r="P125" s="344"/>
      <c r="Q125" s="344"/>
      <c r="R125" s="344"/>
      <c r="S125" s="344"/>
    </row>
    <row r="126" customFormat="false" ht="13.2" hidden="false" customHeight="false" outlineLevel="0" collapsed="false">
      <c r="B126" s="344"/>
      <c r="C126" s="344"/>
      <c r="D126" s="344"/>
      <c r="E126" s="344"/>
      <c r="F126" s="344"/>
      <c r="G126" s="344"/>
      <c r="H126" s="344"/>
      <c r="I126" s="344"/>
      <c r="J126" s="344"/>
      <c r="K126" s="344"/>
      <c r="L126" s="344"/>
      <c r="M126" s="344"/>
      <c r="N126" s="344"/>
      <c r="O126" s="344"/>
      <c r="P126" s="344"/>
      <c r="Q126" s="344"/>
      <c r="R126" s="344"/>
      <c r="S126" s="344"/>
    </row>
    <row r="127" customFormat="false" ht="13.2" hidden="false" customHeight="false" outlineLevel="0" collapsed="false">
      <c r="B127" s="344"/>
      <c r="C127" s="344"/>
      <c r="D127" s="344"/>
      <c r="E127" s="344"/>
      <c r="F127" s="344"/>
      <c r="G127" s="344"/>
      <c r="H127" s="344"/>
      <c r="I127" s="344"/>
      <c r="J127" s="344"/>
      <c r="K127" s="344"/>
      <c r="L127" s="344"/>
      <c r="M127" s="344"/>
      <c r="N127" s="344"/>
      <c r="O127" s="344"/>
      <c r="P127" s="344"/>
      <c r="Q127" s="344"/>
      <c r="R127" s="344"/>
      <c r="S127" s="344"/>
    </row>
    <row r="128" customFormat="false" ht="13.2" hidden="false" customHeight="false" outlineLevel="0" collapsed="false">
      <c r="B128" s="344"/>
      <c r="C128" s="344"/>
      <c r="D128" s="344"/>
      <c r="E128" s="344"/>
      <c r="F128" s="344"/>
      <c r="G128" s="344"/>
      <c r="H128" s="344"/>
      <c r="I128" s="344"/>
      <c r="J128" s="344"/>
      <c r="K128" s="344"/>
      <c r="L128" s="344"/>
      <c r="M128" s="344"/>
      <c r="N128" s="344"/>
      <c r="O128" s="344"/>
      <c r="P128" s="344"/>
      <c r="Q128" s="344"/>
      <c r="R128" s="344"/>
      <c r="S128" s="344"/>
    </row>
    <row r="129" customFormat="false" ht="13.2" hidden="false" customHeight="false" outlineLevel="0" collapsed="false">
      <c r="B129" s="344"/>
      <c r="C129" s="344"/>
      <c r="D129" s="344"/>
      <c r="E129" s="344"/>
      <c r="F129" s="344"/>
      <c r="G129" s="344"/>
      <c r="H129" s="344"/>
      <c r="I129" s="344"/>
      <c r="J129" s="344"/>
      <c r="K129" s="344"/>
      <c r="L129" s="344"/>
      <c r="M129" s="344"/>
      <c r="N129" s="344"/>
      <c r="O129" s="344"/>
      <c r="P129" s="344"/>
      <c r="Q129" s="344"/>
      <c r="R129" s="344"/>
      <c r="S129" s="344"/>
    </row>
    <row r="130" customFormat="false" ht="13.2" hidden="false" customHeight="false" outlineLevel="0" collapsed="false">
      <c r="B130" s="344"/>
      <c r="C130" s="344"/>
      <c r="D130" s="344"/>
      <c r="E130" s="344"/>
      <c r="F130" s="344"/>
      <c r="G130" s="344"/>
      <c r="H130" s="344"/>
      <c r="I130" s="344"/>
      <c r="J130" s="344"/>
      <c r="K130" s="344"/>
      <c r="L130" s="344"/>
      <c r="M130" s="344"/>
      <c r="N130" s="344"/>
      <c r="O130" s="344"/>
      <c r="P130" s="344"/>
      <c r="Q130" s="344"/>
      <c r="R130" s="344"/>
      <c r="S130" s="344"/>
    </row>
    <row r="131" customFormat="false" ht="13.2" hidden="false" customHeight="false" outlineLevel="0" collapsed="false">
      <c r="B131" s="344"/>
      <c r="C131" s="344"/>
      <c r="D131" s="344"/>
      <c r="E131" s="344"/>
      <c r="F131" s="344"/>
      <c r="G131" s="344"/>
      <c r="H131" s="344"/>
      <c r="I131" s="344"/>
      <c r="J131" s="344"/>
      <c r="K131" s="344"/>
      <c r="L131" s="344"/>
      <c r="M131" s="344"/>
      <c r="N131" s="344"/>
      <c r="O131" s="344"/>
      <c r="P131" s="344"/>
      <c r="Q131" s="344"/>
      <c r="R131" s="344"/>
      <c r="S131" s="344"/>
    </row>
    <row r="132" customFormat="false" ht="13.2" hidden="false" customHeight="false" outlineLevel="0" collapsed="false">
      <c r="B132" s="344"/>
      <c r="C132" s="344"/>
      <c r="D132" s="344"/>
      <c r="E132" s="344"/>
      <c r="F132" s="344"/>
      <c r="G132" s="344"/>
      <c r="H132" s="344"/>
      <c r="I132" s="344"/>
      <c r="J132" s="344"/>
      <c r="K132" s="344"/>
      <c r="L132" s="344"/>
      <c r="M132" s="344"/>
      <c r="N132" s="344"/>
      <c r="O132" s="344"/>
      <c r="P132" s="344"/>
      <c r="Q132" s="344"/>
      <c r="R132" s="344"/>
      <c r="S132" s="344"/>
    </row>
    <row r="133" customFormat="false" ht="13.2" hidden="false" customHeight="false" outlineLevel="0" collapsed="false">
      <c r="B133" s="344"/>
      <c r="C133" s="344"/>
      <c r="D133" s="344"/>
      <c r="E133" s="344"/>
      <c r="F133" s="344"/>
      <c r="G133" s="344"/>
      <c r="H133" s="344"/>
      <c r="I133" s="344"/>
      <c r="J133" s="344"/>
      <c r="K133" s="344"/>
      <c r="L133" s="344"/>
      <c r="M133" s="344"/>
      <c r="N133" s="344"/>
      <c r="O133" s="344"/>
      <c r="P133" s="344"/>
      <c r="Q133" s="344"/>
      <c r="R133" s="344"/>
      <c r="S133" s="344"/>
    </row>
    <row r="134" customFormat="false" ht="13.2" hidden="false" customHeight="false" outlineLevel="0" collapsed="false">
      <c r="B134" s="344"/>
      <c r="C134" s="344"/>
      <c r="D134" s="344"/>
      <c r="E134" s="344"/>
      <c r="F134" s="344"/>
      <c r="G134" s="344"/>
      <c r="H134" s="344"/>
      <c r="I134" s="344"/>
      <c r="J134" s="344"/>
      <c r="K134" s="344"/>
      <c r="L134" s="344"/>
      <c r="M134" s="344"/>
      <c r="N134" s="344"/>
      <c r="O134" s="344"/>
      <c r="P134" s="344"/>
      <c r="Q134" s="344"/>
      <c r="R134" s="344"/>
      <c r="S134" s="344"/>
    </row>
    <row r="135" customFormat="false" ht="13.2" hidden="false" customHeight="false" outlineLevel="0" collapsed="false">
      <c r="B135" s="344"/>
      <c r="C135" s="344"/>
      <c r="D135" s="344"/>
      <c r="E135" s="344"/>
      <c r="F135" s="344"/>
      <c r="G135" s="344"/>
      <c r="H135" s="344"/>
      <c r="I135" s="344"/>
      <c r="J135" s="344"/>
      <c r="K135" s="344"/>
      <c r="L135" s="344"/>
      <c r="M135" s="344"/>
      <c r="N135" s="344"/>
      <c r="O135" s="344"/>
      <c r="P135" s="344"/>
      <c r="Q135" s="344"/>
      <c r="R135" s="344"/>
      <c r="S135" s="344"/>
    </row>
    <row r="136" customFormat="false" ht="13.2" hidden="false" customHeight="false" outlineLevel="0" collapsed="false">
      <c r="B136" s="344"/>
      <c r="C136" s="344"/>
      <c r="D136" s="344"/>
      <c r="E136" s="344"/>
      <c r="F136" s="344"/>
      <c r="G136" s="344"/>
      <c r="H136" s="344"/>
      <c r="I136" s="344"/>
      <c r="J136" s="344"/>
      <c r="K136" s="344"/>
      <c r="L136" s="344"/>
      <c r="M136" s="344"/>
      <c r="N136" s="344"/>
      <c r="O136" s="344"/>
      <c r="P136" s="344"/>
      <c r="Q136" s="344"/>
      <c r="R136" s="344"/>
      <c r="S136" s="344"/>
    </row>
    <row r="137" customFormat="false" ht="13.2" hidden="false" customHeight="false" outlineLevel="0" collapsed="false">
      <c r="B137" s="344"/>
      <c r="C137" s="344"/>
      <c r="D137" s="344"/>
      <c r="E137" s="344"/>
      <c r="F137" s="344"/>
      <c r="G137" s="344"/>
      <c r="H137" s="344"/>
      <c r="I137" s="344"/>
      <c r="J137" s="344"/>
      <c r="K137" s="344"/>
      <c r="L137" s="344"/>
      <c r="M137" s="344"/>
      <c r="N137" s="344"/>
      <c r="O137" s="344"/>
      <c r="P137" s="344"/>
      <c r="Q137" s="344"/>
      <c r="R137" s="344"/>
      <c r="S137" s="344"/>
    </row>
    <row r="138" customFormat="false" ht="13.2" hidden="false" customHeight="false" outlineLevel="0" collapsed="false">
      <c r="B138" s="344"/>
      <c r="C138" s="344"/>
      <c r="D138" s="344"/>
      <c r="E138" s="344"/>
      <c r="F138" s="344"/>
      <c r="G138" s="344"/>
      <c r="H138" s="344"/>
      <c r="I138" s="344"/>
      <c r="J138" s="344"/>
      <c r="K138" s="344"/>
      <c r="L138" s="344"/>
      <c r="M138" s="344"/>
      <c r="N138" s="344"/>
      <c r="O138" s="344"/>
      <c r="P138" s="344"/>
      <c r="Q138" s="344"/>
      <c r="R138" s="344"/>
      <c r="S138" s="344"/>
    </row>
    <row r="139" customFormat="false" ht="13.2" hidden="false" customHeight="false" outlineLevel="0" collapsed="false">
      <c r="B139" s="344"/>
      <c r="C139" s="344"/>
      <c r="D139" s="344"/>
      <c r="E139" s="344"/>
      <c r="F139" s="344"/>
      <c r="G139" s="344"/>
      <c r="H139" s="344"/>
      <c r="I139" s="344"/>
      <c r="J139" s="344"/>
      <c r="K139" s="344"/>
      <c r="L139" s="344"/>
      <c r="M139" s="344"/>
      <c r="N139" s="344"/>
      <c r="O139" s="344"/>
      <c r="P139" s="344"/>
      <c r="Q139" s="344"/>
      <c r="R139" s="344"/>
      <c r="S139" s="344"/>
    </row>
  </sheetData>
  <printOptions headings="false" gridLines="false" gridLinesSet="true" horizontalCentered="false" verticalCentered="false"/>
  <pageMargins left="0.170138888888889" right="0.559722222222222" top="0.479861111111111" bottom="0.559722222222222" header="0.2" footer="0.25"/>
  <pageSetup paperSize="1" scale="100" fitToWidth="1" fitToHeight="1" pageOrder="downThenOver" orientation="portrait" blackAndWhite="false" draft="false" cellComments="none" horizontalDpi="300" verticalDpi="300" copies="1"/>
  <headerFooter differentFirst="false" differentOddEven="false">
    <oddHeader>&amp;L&amp;"Arial,Bold"&amp;12Doyle Power, LCC - Principal Insured&amp;RThru: &amp;D
Page &amp;P</oddHeader>
    <oddFooter>&amp;L&amp;F&amp;R&amp;A</oddFooter>
  </headerFooter>
  <rowBreaks count="1" manualBreakCount="1">
    <brk id="43" man="true" max="16383" min="0"/>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39"/>
  <sheetViews>
    <sheetView showFormulas="false" showGridLines="true" showRowColHeaders="true" showZeros="true" rightToLeft="false" tabSelected="false" showOutlineSymbols="true" defaultGridColor="true" view="pageBreakPreview" topLeftCell="A1" colorId="64" zoomScale="50" zoomScaleNormal="50" zoomScalePageLayoutView="50" workbookViewId="0">
      <selection pane="topLeft" activeCell="A1" activeCellId="0" sqref="A1"/>
    </sheetView>
  </sheetViews>
  <sheetFormatPr defaultColWidth="10.328125" defaultRowHeight="13.2" customHeight="true" zeroHeight="false" outlineLevelRow="0" outlineLevelCol="0"/>
  <cols>
    <col collapsed="false" customWidth="true" hidden="false" outlineLevel="0" max="1" min="1" style="354" width="8.1"/>
    <col collapsed="false" customWidth="true" hidden="false" outlineLevel="0" max="2" min="2" style="354" width="0.43"/>
    <col collapsed="false" customWidth="true" hidden="false" outlineLevel="0" max="3" min="3" style="354" width="0.21"/>
    <col collapsed="false" customWidth="true" hidden="false" outlineLevel="0" max="4" min="4" style="354" width="7.43"/>
    <col collapsed="false" customWidth="true" hidden="false" outlineLevel="0" max="5" min="5" style="354" width="0.21"/>
    <col collapsed="false" customWidth="true" hidden="false" outlineLevel="0" max="6" min="6" style="355" width="0.21"/>
    <col collapsed="false" customWidth="true" hidden="false" outlineLevel="0" max="8" min="7" style="354" width="0.21"/>
    <col collapsed="false" customWidth="true" hidden="false" outlineLevel="0" max="10" min="9" style="355" width="0.21"/>
    <col collapsed="false" customWidth="true" hidden="false" outlineLevel="0" max="11" min="11" style="355" width="4.99"/>
    <col collapsed="false" customWidth="true" hidden="false" outlineLevel="0" max="13" min="12" style="354" width="0.21"/>
    <col collapsed="false" customWidth="true" hidden="false" outlineLevel="0" max="18" min="14" style="355" width="0.21"/>
    <col collapsed="false" customWidth="true" hidden="false" outlineLevel="0" max="19" min="19" style="355" width="4.99"/>
    <col collapsed="false" customWidth="true" hidden="false" outlineLevel="0" max="21" min="20" style="354" width="0.21"/>
    <col collapsed="false" customWidth="true" hidden="false" outlineLevel="0" max="27" min="22" style="356" width="0.21"/>
    <col collapsed="false" customWidth="true" hidden="false" outlineLevel="0" max="29" min="28" style="355" width="0.21"/>
    <col collapsed="false" customWidth="true" hidden="false" outlineLevel="0" max="30" min="30" style="355" width="5.32"/>
    <col collapsed="false" customWidth="true" hidden="false" outlineLevel="0" max="46" min="31" style="355" width="0.21"/>
    <col collapsed="false" customWidth="true" hidden="false" outlineLevel="0" max="47" min="47" style="355" width="4.99"/>
    <col collapsed="false" customWidth="true" hidden="false" outlineLevel="0" max="49" min="48" style="355" width="0.21"/>
    <col collapsed="false" customWidth="true" hidden="false" outlineLevel="0" max="50" min="50" style="355" width="4.99"/>
    <col collapsed="false" customWidth="true" hidden="false" outlineLevel="0" max="55" min="51" style="355" width="0.21"/>
    <col collapsed="false" customWidth="true" hidden="false" outlineLevel="0" max="56" min="56" style="355" width="4.99"/>
    <col collapsed="false" customWidth="true" hidden="false" outlineLevel="0" max="59" min="57" style="355" width="0.21"/>
    <col collapsed="false" customWidth="true" hidden="false" outlineLevel="0" max="60" min="60" style="355" width="6.1"/>
    <col collapsed="false" customWidth="true" hidden="false" outlineLevel="0" max="61" min="61" style="355" width="6.77"/>
    <col collapsed="false" customWidth="true" hidden="false" outlineLevel="0" max="63" min="62" style="355" width="0.21"/>
    <col collapsed="false" customWidth="true" hidden="false" outlineLevel="0" max="64" min="64" style="355" width="4.99"/>
    <col collapsed="false" customWidth="true" hidden="false" outlineLevel="0" max="67" min="65" style="355" width="0.21"/>
    <col collapsed="false" customWidth="true" hidden="false" outlineLevel="0" max="68" min="68" style="355" width="4.99"/>
    <col collapsed="false" customWidth="true" hidden="false" outlineLevel="0" max="69" min="69" style="355" width="4.33"/>
    <col collapsed="false" customWidth="true" hidden="false" outlineLevel="0" max="70" min="70" style="355" width="9.21"/>
    <col collapsed="false" customWidth="true" hidden="false" outlineLevel="0" max="71" min="71" style="357" width="8.55"/>
    <col collapsed="false" customWidth="true" hidden="false" outlineLevel="0" max="72" min="72" style="0" width="9.21"/>
    <col collapsed="false" customWidth="true" hidden="false" outlineLevel="0" max="74" min="74" style="0" width="14.77"/>
    <col collapsed="false" customWidth="false" hidden="false" outlineLevel="0" max="257" min="79" style="355" width="10.32"/>
  </cols>
  <sheetData>
    <row r="1" customFormat="false" ht="13.2" hidden="false" customHeight="false" outlineLevel="0" collapsed="false">
      <c r="A1" s="355" t="s">
        <v>25</v>
      </c>
      <c r="W1" s="355"/>
      <c r="X1" s="355"/>
      <c r="Y1" s="355"/>
      <c r="Z1" s="355"/>
      <c r="AA1" s="355"/>
      <c r="AX1" s="358" t="s">
        <v>587</v>
      </c>
    </row>
    <row r="2" customFormat="false" ht="34.2" hidden="false" customHeight="true" outlineLevel="0" collapsed="false">
      <c r="A2" s="359" t="s">
        <v>588</v>
      </c>
      <c r="B2" s="359" t="s">
        <v>589</v>
      </c>
      <c r="C2" s="359"/>
      <c r="D2" s="359"/>
      <c r="E2" s="359"/>
      <c r="F2" s="359"/>
      <c r="G2" s="359"/>
      <c r="H2" s="359"/>
      <c r="I2" s="360"/>
      <c r="J2" s="360"/>
      <c r="K2" s="361" t="n">
        <v>0.5</v>
      </c>
      <c r="L2" s="362"/>
      <c r="M2" s="362"/>
      <c r="N2" s="360"/>
      <c r="O2" s="360"/>
      <c r="P2" s="360"/>
      <c r="Q2" s="360"/>
      <c r="R2" s="360"/>
      <c r="S2" s="361" t="n">
        <v>0.5</v>
      </c>
      <c r="T2" s="360"/>
      <c r="U2" s="360"/>
      <c r="V2" s="360"/>
      <c r="W2" s="360"/>
      <c r="X2" s="360"/>
      <c r="Y2" s="360"/>
      <c r="Z2" s="360"/>
      <c r="AA2" s="360"/>
      <c r="AB2" s="360"/>
      <c r="AC2" s="360"/>
      <c r="AD2" s="361" t="n">
        <v>0.5</v>
      </c>
      <c r="AE2" s="360"/>
      <c r="AF2" s="360"/>
      <c r="AG2" s="360"/>
      <c r="AH2" s="360"/>
      <c r="AI2" s="360"/>
      <c r="AJ2" s="360"/>
      <c r="AK2" s="360"/>
      <c r="AL2" s="360"/>
      <c r="AM2" s="360"/>
      <c r="AN2" s="360"/>
      <c r="AO2" s="360"/>
      <c r="AP2" s="360"/>
      <c r="AQ2" s="360"/>
      <c r="AR2" s="360"/>
      <c r="AS2" s="360"/>
      <c r="AT2" s="360"/>
      <c r="AU2" s="361" t="n">
        <v>0.5</v>
      </c>
      <c r="AV2" s="360"/>
      <c r="AW2" s="360"/>
      <c r="AX2" s="361" t="n">
        <v>0.5</v>
      </c>
      <c r="AY2" s="360"/>
      <c r="AZ2" s="360"/>
      <c r="BA2" s="360"/>
      <c r="BB2" s="360"/>
      <c r="BC2" s="360"/>
      <c r="BD2" s="360"/>
      <c r="BE2" s="363"/>
      <c r="BF2" s="363"/>
      <c r="BG2" s="363"/>
      <c r="BH2" s="361" t="n">
        <v>1</v>
      </c>
      <c r="BI2" s="361" t="n">
        <v>1</v>
      </c>
      <c r="BJ2" s="360"/>
      <c r="BK2" s="360"/>
      <c r="BL2" s="361" t="n">
        <v>1</v>
      </c>
      <c r="BM2" s="360"/>
      <c r="BN2" s="360"/>
      <c r="BO2" s="360"/>
      <c r="BP2" s="360"/>
      <c r="BQ2" s="360"/>
      <c r="BR2" s="360"/>
      <c r="BS2" s="364"/>
      <c r="CA2" s="360"/>
      <c r="CB2" s="360"/>
      <c r="CC2" s="360"/>
      <c r="CD2" s="360"/>
      <c r="CE2" s="360"/>
      <c r="CF2" s="360"/>
      <c r="CG2" s="360"/>
      <c r="CH2" s="360"/>
      <c r="CI2" s="360"/>
      <c r="CJ2" s="360"/>
      <c r="CK2" s="360"/>
      <c r="CL2" s="360"/>
      <c r="CM2" s="360"/>
      <c r="CN2" s="360"/>
      <c r="CO2" s="360"/>
      <c r="CP2" s="360"/>
      <c r="CQ2" s="360"/>
      <c r="CR2" s="360"/>
      <c r="CS2" s="360"/>
      <c r="CT2" s="360"/>
      <c r="CU2" s="360"/>
      <c r="CV2" s="360"/>
      <c r="CW2" s="360"/>
      <c r="CX2" s="360"/>
      <c r="CY2" s="360"/>
      <c r="CZ2" s="360"/>
      <c r="DA2" s="360"/>
      <c r="DB2" s="360"/>
      <c r="DC2" s="360"/>
      <c r="DD2" s="360"/>
      <c r="DE2" s="360"/>
      <c r="DF2" s="360"/>
      <c r="DG2" s="360"/>
      <c r="DH2" s="360"/>
      <c r="DI2" s="360"/>
      <c r="DJ2" s="360"/>
      <c r="DK2" s="360"/>
      <c r="DL2" s="360"/>
      <c r="DM2" s="360"/>
      <c r="DN2" s="360"/>
      <c r="DO2" s="360"/>
      <c r="DP2" s="360"/>
      <c r="DQ2" s="360"/>
      <c r="DR2" s="360"/>
      <c r="DS2" s="360"/>
      <c r="DT2" s="360"/>
      <c r="DU2" s="360"/>
      <c r="DV2" s="360"/>
      <c r="DW2" s="360"/>
      <c r="DX2" s="360"/>
      <c r="DY2" s="360"/>
      <c r="DZ2" s="360"/>
      <c r="EA2" s="360"/>
      <c r="EB2" s="360"/>
      <c r="EC2" s="360"/>
      <c r="ED2" s="360"/>
      <c r="EE2" s="360"/>
      <c r="EF2" s="360"/>
      <c r="EG2" s="360"/>
      <c r="EH2" s="360"/>
      <c r="EI2" s="360"/>
      <c r="EJ2" s="360"/>
      <c r="EK2" s="360"/>
      <c r="EL2" s="360"/>
      <c r="EM2" s="360"/>
      <c r="EN2" s="360"/>
      <c r="EO2" s="360"/>
      <c r="EP2" s="360"/>
      <c r="EQ2" s="360"/>
      <c r="ER2" s="360"/>
      <c r="ES2" s="360"/>
      <c r="ET2" s="360"/>
      <c r="EU2" s="360"/>
      <c r="EV2" s="360"/>
      <c r="EW2" s="360"/>
      <c r="EX2" s="360"/>
      <c r="EY2" s="360"/>
      <c r="EZ2" s="360"/>
      <c r="FA2" s="360"/>
      <c r="FB2" s="360"/>
      <c r="FC2" s="360"/>
      <c r="FD2" s="360"/>
      <c r="FE2" s="360"/>
      <c r="FF2" s="360"/>
      <c r="FG2" s="360"/>
      <c r="FH2" s="360"/>
      <c r="FI2" s="360"/>
      <c r="FJ2" s="360"/>
      <c r="FK2" s="360"/>
      <c r="FL2" s="360"/>
      <c r="FM2" s="360"/>
      <c r="FN2" s="360"/>
      <c r="FO2" s="360"/>
      <c r="FP2" s="360"/>
      <c r="FQ2" s="360"/>
      <c r="FR2" s="360"/>
      <c r="FS2" s="360"/>
      <c r="FT2" s="360"/>
      <c r="FU2" s="360"/>
      <c r="FV2" s="360"/>
      <c r="FW2" s="360"/>
      <c r="FX2" s="360"/>
      <c r="FY2" s="360"/>
      <c r="FZ2" s="360"/>
      <c r="GA2" s="360"/>
      <c r="GB2" s="360"/>
      <c r="GC2" s="360"/>
      <c r="GD2" s="360"/>
      <c r="GE2" s="360"/>
      <c r="GF2" s="360"/>
      <c r="GG2" s="360"/>
      <c r="GH2" s="360"/>
      <c r="GI2" s="360"/>
      <c r="GJ2" s="360"/>
      <c r="GK2" s="360"/>
      <c r="GL2" s="360"/>
      <c r="GM2" s="360"/>
      <c r="GN2" s="360"/>
      <c r="GO2" s="360"/>
      <c r="GP2" s="360"/>
      <c r="GQ2" s="360"/>
      <c r="GR2" s="360"/>
      <c r="GS2" s="360"/>
      <c r="GT2" s="360"/>
      <c r="GU2" s="360"/>
      <c r="GV2" s="360"/>
      <c r="GW2" s="360"/>
      <c r="GX2" s="360"/>
      <c r="GY2" s="360"/>
      <c r="GZ2" s="360"/>
      <c r="HA2" s="360"/>
      <c r="HB2" s="360"/>
      <c r="HC2" s="360"/>
      <c r="HD2" s="360"/>
      <c r="HE2" s="360"/>
      <c r="HF2" s="360"/>
      <c r="HG2" s="360"/>
      <c r="HH2" s="360"/>
      <c r="HI2" s="360"/>
      <c r="HJ2" s="360"/>
      <c r="HK2" s="360"/>
      <c r="HL2" s="360"/>
      <c r="HM2" s="360"/>
      <c r="HN2" s="360"/>
      <c r="HO2" s="360"/>
      <c r="HP2" s="360"/>
      <c r="HQ2" s="360"/>
      <c r="HR2" s="360"/>
      <c r="HS2" s="360"/>
      <c r="HT2" s="360"/>
      <c r="HU2" s="360"/>
      <c r="HV2" s="360"/>
      <c r="HW2" s="360"/>
      <c r="HX2" s="360"/>
      <c r="HY2" s="360"/>
      <c r="HZ2" s="360"/>
      <c r="IA2" s="360"/>
      <c r="IB2" s="360"/>
      <c r="IC2" s="360"/>
      <c r="ID2" s="360"/>
      <c r="IE2" s="360"/>
      <c r="IF2" s="360"/>
      <c r="IG2" s="360"/>
      <c r="IH2" s="360"/>
      <c r="II2" s="360"/>
      <c r="IJ2" s="360"/>
      <c r="IK2" s="360"/>
      <c r="IL2" s="360"/>
      <c r="IM2" s="360"/>
      <c r="IN2" s="360"/>
      <c r="IO2" s="360"/>
      <c r="IP2" s="360"/>
      <c r="IQ2" s="360"/>
      <c r="IR2" s="360"/>
      <c r="IS2" s="360"/>
      <c r="IT2" s="360"/>
      <c r="IU2" s="360"/>
      <c r="IV2" s="360"/>
      <c r="IW2" s="360"/>
    </row>
    <row r="3" customFormat="false" ht="61.2" hidden="false" customHeight="true" outlineLevel="0" collapsed="false">
      <c r="A3" s="362" t="s">
        <v>554</v>
      </c>
      <c r="B3" s="365" t="s">
        <v>590</v>
      </c>
      <c r="C3" s="365" t="s">
        <v>591</v>
      </c>
      <c r="D3" s="366" t="s">
        <v>592</v>
      </c>
      <c r="E3" s="365" t="s">
        <v>593</v>
      </c>
      <c r="F3" s="367" t="s">
        <v>594</v>
      </c>
      <c r="G3" s="365" t="s">
        <v>595</v>
      </c>
      <c r="H3" s="365" t="s">
        <v>565</v>
      </c>
      <c r="I3" s="367" t="s">
        <v>596</v>
      </c>
      <c r="J3" s="367" t="s">
        <v>597</v>
      </c>
      <c r="K3" s="368" t="s">
        <v>598</v>
      </c>
      <c r="L3" s="365" t="s">
        <v>599</v>
      </c>
      <c r="M3" s="365" t="s">
        <v>600</v>
      </c>
      <c r="N3" s="367" t="s">
        <v>601</v>
      </c>
      <c r="O3" s="367" t="s">
        <v>602</v>
      </c>
      <c r="P3" s="367" t="s">
        <v>603</v>
      </c>
      <c r="Q3" s="367" t="s">
        <v>604</v>
      </c>
      <c r="R3" s="365" t="s">
        <v>605</v>
      </c>
      <c r="S3" s="368" t="s">
        <v>606</v>
      </c>
      <c r="T3" s="365" t="s">
        <v>607</v>
      </c>
      <c r="U3" s="365" t="s">
        <v>608</v>
      </c>
      <c r="V3" s="367" t="s">
        <v>609</v>
      </c>
      <c r="W3" s="367" t="s">
        <v>610</v>
      </c>
      <c r="X3" s="367" t="s">
        <v>611</v>
      </c>
      <c r="Y3" s="367" t="s">
        <v>612</v>
      </c>
      <c r="Z3" s="367" t="s">
        <v>613</v>
      </c>
      <c r="AA3" s="367" t="s">
        <v>614</v>
      </c>
      <c r="AB3" s="367" t="s">
        <v>615</v>
      </c>
      <c r="AC3" s="367" t="s">
        <v>616</v>
      </c>
      <c r="AD3" s="368" t="s">
        <v>617</v>
      </c>
      <c r="AE3" s="367" t="s">
        <v>618</v>
      </c>
      <c r="AF3" s="369" t="s">
        <v>619</v>
      </c>
      <c r="AG3" s="367" t="s">
        <v>620</v>
      </c>
      <c r="AH3" s="367" t="s">
        <v>621</v>
      </c>
      <c r="AI3" s="367" t="s">
        <v>622</v>
      </c>
      <c r="AJ3" s="367" t="s">
        <v>623</v>
      </c>
      <c r="AK3" s="367" t="s">
        <v>624</v>
      </c>
      <c r="AL3" s="367" t="s">
        <v>625</v>
      </c>
      <c r="AM3" s="367" t="s">
        <v>626</v>
      </c>
      <c r="AN3" s="367" t="s">
        <v>627</v>
      </c>
      <c r="AO3" s="367" t="s">
        <v>628</v>
      </c>
      <c r="AP3" s="367" t="s">
        <v>629</v>
      </c>
      <c r="AQ3" s="367" t="s">
        <v>630</v>
      </c>
      <c r="AR3" s="367" t="s">
        <v>631</v>
      </c>
      <c r="AS3" s="367" t="s">
        <v>632</v>
      </c>
      <c r="AT3" s="367" t="s">
        <v>633</v>
      </c>
      <c r="AU3" s="368" t="s">
        <v>634</v>
      </c>
      <c r="AV3" s="367" t="s">
        <v>635</v>
      </c>
      <c r="AW3" s="367" t="s">
        <v>636</v>
      </c>
      <c r="AX3" s="368" t="s">
        <v>637</v>
      </c>
      <c r="AY3" s="367" t="s">
        <v>638</v>
      </c>
      <c r="AZ3" s="367" t="s">
        <v>639</v>
      </c>
      <c r="BA3" s="367" t="s">
        <v>640</v>
      </c>
      <c r="BB3" s="369" t="s">
        <v>641</v>
      </c>
      <c r="BC3" s="367" t="s">
        <v>642</v>
      </c>
      <c r="BD3" s="368" t="s">
        <v>643</v>
      </c>
      <c r="BE3" s="367" t="s">
        <v>644</v>
      </c>
      <c r="BF3" s="367" t="s">
        <v>645</v>
      </c>
      <c r="BG3" s="367" t="s">
        <v>646</v>
      </c>
      <c r="BH3" s="363" t="s">
        <v>647</v>
      </c>
      <c r="BI3" s="363" t="s">
        <v>648</v>
      </c>
      <c r="BJ3" s="367" t="s">
        <v>649</v>
      </c>
      <c r="BK3" s="367" t="s">
        <v>650</v>
      </c>
      <c r="BL3" s="368" t="s">
        <v>651</v>
      </c>
      <c r="BM3" s="367" t="s">
        <v>652</v>
      </c>
      <c r="BN3" s="367" t="s">
        <v>653</v>
      </c>
      <c r="BO3" s="367" t="s">
        <v>654</v>
      </c>
      <c r="BP3" s="368" t="s">
        <v>655</v>
      </c>
      <c r="BQ3" s="368" t="s">
        <v>656</v>
      </c>
      <c r="BR3" s="370" t="s">
        <v>657</v>
      </c>
      <c r="BS3" s="370" t="s">
        <v>658</v>
      </c>
      <c r="CA3" s="367"/>
      <c r="CB3" s="367"/>
      <c r="CC3" s="367"/>
      <c r="CD3" s="367"/>
      <c r="CE3" s="367"/>
      <c r="CF3" s="367"/>
      <c r="CG3" s="367"/>
      <c r="CH3" s="367"/>
      <c r="CI3" s="367"/>
      <c r="CJ3" s="367"/>
      <c r="CK3" s="367"/>
      <c r="CL3" s="367"/>
      <c r="CM3" s="367"/>
      <c r="CN3" s="367"/>
      <c r="CO3" s="367"/>
      <c r="CP3" s="367"/>
      <c r="CQ3" s="367"/>
      <c r="CR3" s="367"/>
      <c r="CS3" s="367"/>
      <c r="CT3" s="367"/>
      <c r="CU3" s="367"/>
      <c r="CV3" s="367"/>
      <c r="CW3" s="367"/>
      <c r="CX3" s="367"/>
      <c r="CY3" s="367"/>
      <c r="CZ3" s="367"/>
      <c r="DA3" s="367"/>
      <c r="DB3" s="367"/>
      <c r="DC3" s="367"/>
      <c r="DD3" s="367"/>
      <c r="DE3" s="367"/>
      <c r="DF3" s="367"/>
      <c r="DG3" s="367"/>
      <c r="DH3" s="367"/>
      <c r="DI3" s="367"/>
      <c r="DJ3" s="367"/>
      <c r="DK3" s="367"/>
      <c r="DL3" s="367"/>
      <c r="DM3" s="367"/>
      <c r="DN3" s="367"/>
      <c r="DO3" s="367"/>
      <c r="DP3" s="367"/>
      <c r="DQ3" s="367"/>
      <c r="DR3" s="367"/>
      <c r="DS3" s="367"/>
      <c r="DT3" s="367"/>
      <c r="DU3" s="367"/>
      <c r="DV3" s="367"/>
      <c r="DW3" s="367"/>
      <c r="DX3" s="367"/>
      <c r="DY3" s="367"/>
      <c r="DZ3" s="367"/>
      <c r="EA3" s="367"/>
      <c r="EB3" s="367"/>
      <c r="EC3" s="367"/>
      <c r="ED3" s="367"/>
      <c r="EE3" s="367"/>
      <c r="EF3" s="367"/>
      <c r="EG3" s="367"/>
      <c r="EH3" s="367"/>
      <c r="EI3" s="367"/>
      <c r="EJ3" s="367"/>
      <c r="EK3" s="367"/>
      <c r="EL3" s="367"/>
      <c r="EM3" s="367"/>
      <c r="EN3" s="367"/>
      <c r="EO3" s="367"/>
      <c r="EP3" s="367"/>
      <c r="EQ3" s="367"/>
      <c r="ER3" s="367"/>
      <c r="ES3" s="367"/>
      <c r="ET3" s="367"/>
      <c r="EU3" s="367"/>
      <c r="EV3" s="367"/>
      <c r="EW3" s="367"/>
      <c r="EX3" s="367"/>
      <c r="EY3" s="367"/>
      <c r="EZ3" s="367"/>
      <c r="FA3" s="367"/>
      <c r="FB3" s="367"/>
      <c r="FC3" s="367"/>
      <c r="FD3" s="367"/>
      <c r="FE3" s="367"/>
      <c r="FF3" s="367"/>
      <c r="FG3" s="367"/>
      <c r="FH3" s="367"/>
      <c r="FI3" s="367"/>
      <c r="FJ3" s="367"/>
      <c r="FK3" s="367"/>
      <c r="FL3" s="367"/>
      <c r="FM3" s="367"/>
      <c r="FN3" s="367"/>
      <c r="FO3" s="367"/>
      <c r="FP3" s="367"/>
      <c r="FQ3" s="367"/>
      <c r="FR3" s="367"/>
      <c r="FS3" s="367"/>
      <c r="FT3" s="367"/>
      <c r="FU3" s="367"/>
      <c r="FV3" s="367"/>
      <c r="FW3" s="367"/>
      <c r="FX3" s="367"/>
      <c r="FY3" s="367"/>
      <c r="FZ3" s="367"/>
      <c r="GA3" s="367"/>
      <c r="GB3" s="367"/>
      <c r="GC3" s="367"/>
      <c r="GD3" s="367"/>
      <c r="GE3" s="367"/>
      <c r="GF3" s="367"/>
      <c r="GG3" s="367"/>
      <c r="GH3" s="367"/>
      <c r="GI3" s="367"/>
      <c r="GJ3" s="367"/>
      <c r="GK3" s="367"/>
      <c r="GL3" s="367"/>
      <c r="GM3" s="367"/>
      <c r="GN3" s="367"/>
      <c r="GO3" s="367"/>
      <c r="GP3" s="367"/>
      <c r="GQ3" s="367"/>
      <c r="GR3" s="367"/>
      <c r="GS3" s="367"/>
      <c r="GT3" s="367"/>
      <c r="GU3" s="367"/>
      <c r="GV3" s="367"/>
      <c r="GW3" s="367"/>
      <c r="GX3" s="367"/>
      <c r="GY3" s="367"/>
      <c r="GZ3" s="367"/>
      <c r="HA3" s="367"/>
      <c r="HB3" s="367"/>
      <c r="HC3" s="367"/>
      <c r="HD3" s="367"/>
      <c r="HE3" s="367"/>
      <c r="HF3" s="367"/>
      <c r="HG3" s="367"/>
      <c r="HH3" s="367"/>
      <c r="HI3" s="367"/>
      <c r="HJ3" s="367"/>
      <c r="HK3" s="367"/>
      <c r="HL3" s="367"/>
      <c r="HM3" s="367"/>
      <c r="HN3" s="367"/>
      <c r="HO3" s="367"/>
      <c r="HP3" s="367"/>
      <c r="HQ3" s="367"/>
      <c r="HR3" s="367"/>
      <c r="HS3" s="367"/>
      <c r="HT3" s="367"/>
      <c r="HU3" s="367"/>
      <c r="HV3" s="367"/>
      <c r="HW3" s="367"/>
      <c r="HX3" s="367"/>
      <c r="HY3" s="367"/>
      <c r="HZ3" s="367"/>
      <c r="IA3" s="367"/>
      <c r="IB3" s="367"/>
      <c r="IC3" s="367"/>
      <c r="ID3" s="367"/>
      <c r="IE3" s="367"/>
      <c r="IF3" s="367"/>
      <c r="IG3" s="367"/>
      <c r="IH3" s="367"/>
      <c r="II3" s="367"/>
      <c r="IJ3" s="367"/>
      <c r="IK3" s="367"/>
      <c r="IL3" s="367"/>
      <c r="IM3" s="367"/>
      <c r="IN3" s="367"/>
      <c r="IO3" s="367"/>
      <c r="IP3" s="367"/>
      <c r="IQ3" s="367"/>
      <c r="IR3" s="367"/>
      <c r="IS3" s="367"/>
      <c r="IT3" s="367"/>
      <c r="IU3" s="367"/>
      <c r="IV3" s="367"/>
      <c r="IW3" s="367"/>
    </row>
    <row r="4" customFormat="false" ht="13.2" hidden="false" customHeight="false" outlineLevel="0" collapsed="false">
      <c r="A4" s="354" t="n">
        <v>37056</v>
      </c>
      <c r="B4" s="371"/>
      <c r="C4" s="371"/>
      <c r="D4" s="372"/>
      <c r="E4" s="372" t="n">
        <v>10</v>
      </c>
      <c r="F4" s="372" t="n">
        <v>10</v>
      </c>
      <c r="G4" s="372" t="n">
        <v>10</v>
      </c>
      <c r="H4" s="372" t="n">
        <v>6</v>
      </c>
      <c r="I4" s="372"/>
      <c r="J4" s="372"/>
      <c r="K4" s="373" t="n">
        <f aca="false">SUM(D4:J4)</f>
        <v>36</v>
      </c>
      <c r="L4" s="372"/>
      <c r="M4" s="372"/>
      <c r="N4" s="372"/>
      <c r="O4" s="372"/>
      <c r="P4" s="372"/>
      <c r="Q4" s="372"/>
      <c r="R4" s="372"/>
      <c r="S4" s="373"/>
      <c r="T4" s="372"/>
      <c r="U4" s="372"/>
      <c r="V4" s="372"/>
      <c r="W4" s="372"/>
      <c r="X4" s="372"/>
      <c r="Y4" s="372"/>
      <c r="Z4" s="372"/>
      <c r="AA4" s="372" t="n">
        <v>10</v>
      </c>
      <c r="AB4" s="372" t="n">
        <v>10</v>
      </c>
      <c r="AC4" s="372" t="n">
        <v>0</v>
      </c>
      <c r="AD4" s="373" t="n">
        <f aca="false">SUM(T4:AC4)</f>
        <v>20</v>
      </c>
      <c r="AE4" s="372"/>
      <c r="AF4" s="372"/>
      <c r="AG4" s="372"/>
      <c r="AH4" s="372"/>
      <c r="AI4" s="372"/>
      <c r="AJ4" s="372"/>
      <c r="AK4" s="372"/>
      <c r="AL4" s="372"/>
      <c r="AM4" s="372"/>
      <c r="AN4" s="372"/>
      <c r="AO4" s="372"/>
      <c r="AP4" s="372"/>
      <c r="AQ4" s="372"/>
      <c r="AR4" s="372"/>
      <c r="AS4" s="372"/>
      <c r="AT4" s="372"/>
      <c r="AU4" s="373"/>
      <c r="AV4" s="372"/>
      <c r="AW4" s="372"/>
      <c r="AX4" s="373"/>
      <c r="AY4" s="372"/>
      <c r="AZ4" s="372"/>
      <c r="BA4" s="372"/>
      <c r="BB4" s="372"/>
      <c r="BC4" s="372"/>
      <c r="BD4" s="373" t="n">
        <f aca="false">SUM(AY4:BC4)</f>
        <v>0</v>
      </c>
      <c r="BE4" s="372"/>
      <c r="BF4" s="372"/>
      <c r="BG4" s="372"/>
      <c r="BH4" s="372"/>
      <c r="BI4" s="372"/>
      <c r="BJ4" s="372"/>
      <c r="BK4" s="372"/>
      <c r="BL4" s="372"/>
      <c r="BM4" s="372"/>
      <c r="BN4" s="372"/>
      <c r="BO4" s="372"/>
      <c r="BP4" s="372"/>
      <c r="BQ4" s="372"/>
      <c r="BR4" s="371" t="n">
        <f aca="false">+D4+K4+S4+AD4+AU4+AX4+BD4+BH4+BL4+BP4+BQ4+BI4</f>
        <v>56</v>
      </c>
      <c r="BS4" s="374" t="n">
        <f aca="false">+((K4+S4+AD4+AU4+AX4+BD4)*0.5)+D4+BP4+BQ4</f>
        <v>28</v>
      </c>
    </row>
    <row r="5" customFormat="false" ht="13.2" hidden="false" customHeight="false" outlineLevel="0" collapsed="false">
      <c r="A5" s="354" t="n">
        <v>37057</v>
      </c>
      <c r="B5" s="371" t="n">
        <v>9</v>
      </c>
      <c r="C5" s="371" t="n">
        <v>9</v>
      </c>
      <c r="D5" s="372" t="n">
        <f aca="false">+C5+B5</f>
        <v>18</v>
      </c>
      <c r="E5" s="372"/>
      <c r="F5" s="372"/>
      <c r="G5" s="372"/>
      <c r="H5" s="372"/>
      <c r="I5" s="372"/>
      <c r="J5" s="372"/>
      <c r="K5" s="373" t="n">
        <f aca="false">SUM(D5:J5)</f>
        <v>18</v>
      </c>
      <c r="L5" s="372"/>
      <c r="M5" s="372"/>
      <c r="N5" s="372"/>
      <c r="O5" s="372"/>
      <c r="P5" s="372"/>
      <c r="Q5" s="372"/>
      <c r="R5" s="372" t="n">
        <v>4</v>
      </c>
      <c r="S5" s="373" t="n">
        <f aca="false">SUM(M5:R5)</f>
        <v>4</v>
      </c>
      <c r="T5" s="372"/>
      <c r="U5" s="372"/>
      <c r="V5" s="372" t="n">
        <v>8</v>
      </c>
      <c r="W5" s="372" t="n">
        <v>2</v>
      </c>
      <c r="X5" s="372" t="s">
        <v>659</v>
      </c>
      <c r="Y5" s="372" t="n">
        <v>0</v>
      </c>
      <c r="Z5" s="372"/>
      <c r="AA5" s="372"/>
      <c r="AB5" s="372"/>
      <c r="AC5" s="372"/>
      <c r="AD5" s="373" t="n">
        <f aca="false">SUM(T5:AC5)</f>
        <v>10</v>
      </c>
      <c r="AE5" s="372"/>
      <c r="AF5" s="372"/>
      <c r="AG5" s="372"/>
      <c r="AH5" s="372"/>
      <c r="AI5" s="372"/>
      <c r="AJ5" s="372"/>
      <c r="AK5" s="372"/>
      <c r="AL5" s="372"/>
      <c r="AM5" s="372"/>
      <c r="AN5" s="372"/>
      <c r="AO5" s="372"/>
      <c r="AP5" s="372"/>
      <c r="AQ5" s="372" t="n">
        <v>9</v>
      </c>
      <c r="AR5" s="372" t="n">
        <v>8</v>
      </c>
      <c r="AS5" s="372" t="n">
        <v>9</v>
      </c>
      <c r="AT5" s="372" t="n">
        <v>9</v>
      </c>
      <c r="AU5" s="373" t="n">
        <f aca="false">SUM(AE5:AT5)</f>
        <v>35</v>
      </c>
      <c r="AV5" s="372"/>
      <c r="AW5" s="372"/>
      <c r="AX5" s="373"/>
      <c r="AY5" s="372"/>
      <c r="AZ5" s="372"/>
      <c r="BA5" s="372"/>
      <c r="BB5" s="372"/>
      <c r="BC5" s="372"/>
      <c r="BD5" s="373" t="n">
        <f aca="false">SUM(AY5:BC5)</f>
        <v>0</v>
      </c>
      <c r="BE5" s="372"/>
      <c r="BF5" s="372"/>
      <c r="BG5" s="372"/>
      <c r="BH5" s="372"/>
      <c r="BI5" s="372"/>
      <c r="BJ5" s="372"/>
      <c r="BK5" s="372"/>
      <c r="BL5" s="372"/>
      <c r="BM5" s="372"/>
      <c r="BN5" s="372"/>
      <c r="BO5" s="372"/>
      <c r="BP5" s="372"/>
      <c r="BQ5" s="372"/>
      <c r="BR5" s="371" t="n">
        <f aca="false">+D5+K5+S5+AD5+AU5+AX5+BD5+BH5+BL5+BP5+BQ5+BI5</f>
        <v>85</v>
      </c>
      <c r="BS5" s="374" t="n">
        <f aca="false">+((K5+S5+AD5+AU5+AX5+BD5)*0.5)+D5+BP5+BQ5</f>
        <v>51.5</v>
      </c>
    </row>
    <row r="6" customFormat="false" ht="13.2" hidden="false" customHeight="false" outlineLevel="0" collapsed="false">
      <c r="A6" s="354" t="n">
        <v>37058</v>
      </c>
      <c r="B6" s="371" t="n">
        <v>6</v>
      </c>
      <c r="C6" s="371" t="n">
        <v>6</v>
      </c>
      <c r="D6" s="372" t="n">
        <f aca="false">+C6+B6</f>
        <v>12</v>
      </c>
      <c r="E6" s="372"/>
      <c r="F6" s="372"/>
      <c r="G6" s="372"/>
      <c r="H6" s="372"/>
      <c r="I6" s="372"/>
      <c r="J6" s="372"/>
      <c r="K6" s="373"/>
      <c r="L6" s="372"/>
      <c r="M6" s="372"/>
      <c r="N6" s="372" t="n">
        <v>4</v>
      </c>
      <c r="O6" s="372"/>
      <c r="P6" s="372"/>
      <c r="Q6" s="372"/>
      <c r="R6" s="372"/>
      <c r="S6" s="373" t="n">
        <f aca="false">SUM(M6:R6)</f>
        <v>4</v>
      </c>
      <c r="T6" s="372"/>
      <c r="U6" s="372"/>
      <c r="V6" s="372"/>
      <c r="W6" s="372"/>
      <c r="X6" s="372"/>
      <c r="Y6" s="372"/>
      <c r="Z6" s="372"/>
      <c r="AA6" s="372"/>
      <c r="AB6" s="372"/>
      <c r="AC6" s="372"/>
      <c r="AD6" s="373"/>
      <c r="AE6" s="372"/>
      <c r="AF6" s="372"/>
      <c r="AG6" s="372"/>
      <c r="AH6" s="372"/>
      <c r="AI6" s="372"/>
      <c r="AJ6" s="372"/>
      <c r="AK6" s="372" t="n">
        <v>1</v>
      </c>
      <c r="AL6" s="372" t="n">
        <v>1.5</v>
      </c>
      <c r="AM6" s="372"/>
      <c r="AN6" s="372"/>
      <c r="AO6" s="372" t="n">
        <v>4</v>
      </c>
      <c r="AP6" s="372" t="n">
        <v>7</v>
      </c>
      <c r="AQ6" s="372" t="n">
        <v>6</v>
      </c>
      <c r="AR6" s="372"/>
      <c r="AS6" s="372"/>
      <c r="AT6" s="372"/>
      <c r="AU6" s="373" t="n">
        <f aca="false">SUM(AE6:AT6)</f>
        <v>19.5</v>
      </c>
      <c r="AV6" s="372"/>
      <c r="AW6" s="372"/>
      <c r="AX6" s="373"/>
      <c r="AY6" s="372" t="n">
        <v>2</v>
      </c>
      <c r="AZ6" s="372" t="n">
        <v>2</v>
      </c>
      <c r="BA6" s="372"/>
      <c r="BB6" s="372"/>
      <c r="BC6" s="372" t="n">
        <v>10</v>
      </c>
      <c r="BD6" s="373" t="n">
        <f aca="false">SUM(AY6:BC6)</f>
        <v>14</v>
      </c>
      <c r="BE6" s="372"/>
      <c r="BF6" s="372"/>
      <c r="BG6" s="372"/>
      <c r="BH6" s="372"/>
      <c r="BI6" s="372"/>
      <c r="BJ6" s="372"/>
      <c r="BK6" s="372"/>
      <c r="BL6" s="372"/>
      <c r="BM6" s="372"/>
      <c r="BN6" s="372"/>
      <c r="BO6" s="372"/>
      <c r="BP6" s="372"/>
      <c r="BQ6" s="372"/>
      <c r="BR6" s="371" t="n">
        <f aca="false">+D6+K6+S6+AD6+AU6+AX6+BD6+BH6+BL6+BP6+BQ6+BI6</f>
        <v>49.5</v>
      </c>
      <c r="BS6" s="374" t="n">
        <f aca="false">+((K6+S6+AD6+AU6+AX6+BD6)*0.5)+D6+BP6+BQ6</f>
        <v>30.75</v>
      </c>
    </row>
    <row r="7" customFormat="false" ht="13.2" hidden="false" customHeight="false" outlineLevel="0" collapsed="false">
      <c r="A7" s="354" t="n">
        <v>37059</v>
      </c>
      <c r="B7" s="371" t="n">
        <v>10.5</v>
      </c>
      <c r="C7" s="371" t="n">
        <v>10.5</v>
      </c>
      <c r="D7" s="372" t="n">
        <f aca="false">+C7+B7</f>
        <v>21</v>
      </c>
      <c r="E7" s="372" t="n">
        <v>10</v>
      </c>
      <c r="F7" s="372" t="n">
        <v>10</v>
      </c>
      <c r="G7" s="372" t="n">
        <v>9.5</v>
      </c>
      <c r="H7" s="372" t="n">
        <v>5</v>
      </c>
      <c r="I7" s="372"/>
      <c r="J7" s="372"/>
      <c r="K7" s="373" t="n">
        <f aca="false">SUM(E7:J7)</f>
        <v>34.5</v>
      </c>
      <c r="L7" s="372" t="n">
        <v>10</v>
      </c>
      <c r="M7" s="372" t="n">
        <v>0</v>
      </c>
      <c r="N7" s="372"/>
      <c r="O7" s="372"/>
      <c r="P7" s="372" t="n">
        <v>10</v>
      </c>
      <c r="Q7" s="372"/>
      <c r="R7" s="372" t="n">
        <v>10</v>
      </c>
      <c r="S7" s="373" t="n">
        <f aca="false">SUM(M7:R7)</f>
        <v>20</v>
      </c>
      <c r="T7" s="372"/>
      <c r="U7" s="372"/>
      <c r="V7" s="372"/>
      <c r="W7" s="372"/>
      <c r="X7" s="372"/>
      <c r="Y7" s="372"/>
      <c r="Z7" s="372"/>
      <c r="AA7" s="372"/>
      <c r="AB7" s="372"/>
      <c r="AC7" s="372"/>
      <c r="AD7" s="373"/>
      <c r="AE7" s="372" t="n">
        <v>7.5</v>
      </c>
      <c r="AF7" s="372"/>
      <c r="AG7" s="372" t="n">
        <v>10</v>
      </c>
      <c r="AH7" s="372"/>
      <c r="AI7" s="372"/>
      <c r="AJ7" s="372"/>
      <c r="AK7" s="372"/>
      <c r="AL7" s="372"/>
      <c r="AM7" s="372"/>
      <c r="AN7" s="372"/>
      <c r="AO7" s="372"/>
      <c r="AP7" s="372" t="n">
        <v>6</v>
      </c>
      <c r="AQ7" s="372" t="n">
        <v>10.5</v>
      </c>
      <c r="AR7" s="372"/>
      <c r="AS7" s="372" t="n">
        <v>10</v>
      </c>
      <c r="AT7" s="372" t="n">
        <v>10</v>
      </c>
      <c r="AU7" s="373" t="n">
        <f aca="false">SUM(AE7:AT7)</f>
        <v>54</v>
      </c>
      <c r="AV7" s="372"/>
      <c r="AW7" s="372"/>
      <c r="AX7" s="373"/>
      <c r="AY7" s="372"/>
      <c r="AZ7" s="372"/>
      <c r="BA7" s="372"/>
      <c r="BB7" s="372"/>
      <c r="BC7" s="372" t="n">
        <v>10</v>
      </c>
      <c r="BD7" s="373" t="n">
        <f aca="false">SUM(AY7:BC7)</f>
        <v>10</v>
      </c>
      <c r="BE7" s="372"/>
      <c r="BF7" s="372"/>
      <c r="BG7" s="372"/>
      <c r="BH7" s="372"/>
      <c r="BI7" s="372"/>
      <c r="BJ7" s="372"/>
      <c r="BK7" s="372"/>
      <c r="BL7" s="372"/>
      <c r="BM7" s="372"/>
      <c r="BN7" s="372"/>
      <c r="BO7" s="372"/>
      <c r="BP7" s="372"/>
      <c r="BQ7" s="372"/>
      <c r="BR7" s="371" t="n">
        <f aca="false">+D7+K7+S7+AD7+AU7+AX7+BD7+BH7+BL7+BP7+BQ7+BI7</f>
        <v>139.5</v>
      </c>
      <c r="BS7" s="374" t="n">
        <f aca="false">+((K7+S7+AD7+AU7+AX7+BD7)*0.5)+D7+BP7+BQ7</f>
        <v>80.25</v>
      </c>
    </row>
    <row r="8" customFormat="false" ht="13.2" hidden="false" customHeight="false" outlineLevel="0" collapsed="false">
      <c r="A8" s="354" t="n">
        <v>37060</v>
      </c>
      <c r="B8" s="371" t="n">
        <v>10</v>
      </c>
      <c r="C8" s="371" t="n">
        <v>10</v>
      </c>
      <c r="D8" s="372" t="n">
        <f aca="false">+C8+B8</f>
        <v>20</v>
      </c>
      <c r="E8" s="372" t="n">
        <v>10</v>
      </c>
      <c r="F8" s="372" t="n">
        <v>10</v>
      </c>
      <c r="G8" s="372"/>
      <c r="H8" s="372" t="n">
        <v>5</v>
      </c>
      <c r="I8" s="372"/>
      <c r="J8" s="372"/>
      <c r="K8" s="373" t="n">
        <f aca="false">SUM(E8:J8)</f>
        <v>25</v>
      </c>
      <c r="L8" s="372" t="n">
        <v>10</v>
      </c>
      <c r="M8" s="372" t="n">
        <v>0</v>
      </c>
      <c r="N8" s="372"/>
      <c r="O8" s="372"/>
      <c r="P8" s="372"/>
      <c r="Q8" s="372"/>
      <c r="R8" s="372"/>
      <c r="S8" s="373"/>
      <c r="T8" s="372"/>
      <c r="U8" s="372" t="n">
        <v>10</v>
      </c>
      <c r="V8" s="372"/>
      <c r="W8" s="372"/>
      <c r="X8" s="372"/>
      <c r="Y8" s="372"/>
      <c r="Z8" s="372"/>
      <c r="AA8" s="372"/>
      <c r="AB8" s="372"/>
      <c r="AC8" s="372"/>
      <c r="AD8" s="373" t="n">
        <f aca="false">SUM(T8:AC8)</f>
        <v>10</v>
      </c>
      <c r="AE8" s="372" t="n">
        <v>0</v>
      </c>
      <c r="AF8" s="372"/>
      <c r="AG8" s="372" t="n">
        <v>6</v>
      </c>
      <c r="AH8" s="372" t="n">
        <v>3</v>
      </c>
      <c r="AI8" s="372"/>
      <c r="AJ8" s="372"/>
      <c r="AK8" s="372"/>
      <c r="AL8" s="372"/>
      <c r="AM8" s="372"/>
      <c r="AN8" s="372"/>
      <c r="AO8" s="372"/>
      <c r="AP8" s="372"/>
      <c r="AQ8" s="372" t="n">
        <v>10</v>
      </c>
      <c r="AR8" s="372"/>
      <c r="AS8" s="372"/>
      <c r="AT8" s="372" t="n">
        <v>10</v>
      </c>
      <c r="AU8" s="373" t="n">
        <f aca="false">SUM(AE8:AT8)</f>
        <v>29</v>
      </c>
      <c r="AV8" s="372"/>
      <c r="AW8" s="372"/>
      <c r="AX8" s="373"/>
      <c r="AY8" s="372"/>
      <c r="AZ8" s="372" t="n">
        <v>10</v>
      </c>
      <c r="BA8" s="372"/>
      <c r="BB8" s="372"/>
      <c r="BC8" s="372" t="n">
        <v>10</v>
      </c>
      <c r="BD8" s="373" t="n">
        <f aca="false">SUM(AY8:BC8)</f>
        <v>20</v>
      </c>
      <c r="BE8" s="372"/>
      <c r="BF8" s="372"/>
      <c r="BG8" s="372"/>
      <c r="BH8" s="372"/>
      <c r="BI8" s="372"/>
      <c r="BJ8" s="372"/>
      <c r="BK8" s="372"/>
      <c r="BL8" s="372"/>
      <c r="BM8" s="372"/>
      <c r="BN8" s="372"/>
      <c r="BO8" s="372"/>
      <c r="BP8" s="372"/>
      <c r="BQ8" s="372"/>
      <c r="BR8" s="371" t="n">
        <f aca="false">+D8+K8+S8+AD8+AU8+AX8+BD8+BH8+BL8+BP8+BQ8+BI8</f>
        <v>104</v>
      </c>
      <c r="BS8" s="374" t="n">
        <f aca="false">+((K8+S8+AD8+AU8+AX8+BD8)*0.5)+D8+BP8+BQ8</f>
        <v>62</v>
      </c>
    </row>
    <row r="9" customFormat="false" ht="13.2" hidden="false" customHeight="false" outlineLevel="0" collapsed="false">
      <c r="A9" s="354" t="n">
        <v>37061</v>
      </c>
      <c r="B9" s="371" t="n">
        <v>10.5</v>
      </c>
      <c r="C9" s="371" t="n">
        <v>10.5</v>
      </c>
      <c r="D9" s="372" t="n">
        <f aca="false">+C9+B9</f>
        <v>21</v>
      </c>
      <c r="E9" s="372" t="n">
        <v>10</v>
      </c>
      <c r="F9" s="372" t="n">
        <v>10</v>
      </c>
      <c r="G9" s="372"/>
      <c r="H9" s="372" t="n">
        <v>5</v>
      </c>
      <c r="I9" s="372"/>
      <c r="J9" s="372"/>
      <c r="K9" s="373" t="n">
        <f aca="false">SUM(E9:J9)</f>
        <v>25</v>
      </c>
      <c r="L9" s="372" t="n">
        <v>10</v>
      </c>
      <c r="M9" s="372" t="n">
        <v>5</v>
      </c>
      <c r="N9" s="372" t="n">
        <v>5</v>
      </c>
      <c r="O9" s="372"/>
      <c r="P9" s="372" t="n">
        <v>10</v>
      </c>
      <c r="Q9" s="372" t="n">
        <v>10</v>
      </c>
      <c r="R9" s="372" t="n">
        <v>10</v>
      </c>
      <c r="S9" s="373" t="n">
        <f aca="false">SUM(M9:R9)</f>
        <v>40</v>
      </c>
      <c r="T9" s="372" t="n">
        <v>10</v>
      </c>
      <c r="U9" s="372" t="n">
        <v>10</v>
      </c>
      <c r="V9" s="372"/>
      <c r="W9" s="372"/>
      <c r="X9" s="372"/>
      <c r="Y9" s="372"/>
      <c r="Z9" s="372"/>
      <c r="AA9" s="372"/>
      <c r="AB9" s="372"/>
      <c r="AC9" s="372"/>
      <c r="AD9" s="373" t="n">
        <f aca="false">SUM(T9:AC9)</f>
        <v>20</v>
      </c>
      <c r="AE9" s="372" t="n">
        <v>8</v>
      </c>
      <c r="AF9" s="372"/>
      <c r="AG9" s="372"/>
      <c r="AH9" s="372"/>
      <c r="AI9" s="372" t="n">
        <v>10</v>
      </c>
      <c r="AJ9" s="372"/>
      <c r="AK9" s="372"/>
      <c r="AL9" s="372"/>
      <c r="AM9" s="372"/>
      <c r="AN9" s="372"/>
      <c r="AO9" s="372" t="n">
        <v>5</v>
      </c>
      <c r="AP9" s="372"/>
      <c r="AQ9" s="372" t="n">
        <v>10.5</v>
      </c>
      <c r="AR9" s="372" t="n">
        <v>10.5</v>
      </c>
      <c r="AS9" s="372" t="n">
        <v>10.5</v>
      </c>
      <c r="AT9" s="372" t="n">
        <v>3.5</v>
      </c>
      <c r="AU9" s="373" t="n">
        <f aca="false">SUM(AE9:AT9)</f>
        <v>58</v>
      </c>
      <c r="AV9" s="372"/>
      <c r="AW9" s="372"/>
      <c r="AX9" s="373"/>
      <c r="AY9" s="372" t="n">
        <v>1</v>
      </c>
      <c r="AZ9" s="372" t="n">
        <v>1</v>
      </c>
      <c r="BA9" s="372" t="n">
        <v>2</v>
      </c>
      <c r="BB9" s="372"/>
      <c r="BC9" s="372" t="n">
        <v>10</v>
      </c>
      <c r="BD9" s="373" t="n">
        <f aca="false">SUM(AY9:BC9)</f>
        <v>14</v>
      </c>
      <c r="BE9" s="372"/>
      <c r="BF9" s="372"/>
      <c r="BG9" s="372"/>
      <c r="BH9" s="372"/>
      <c r="BI9" s="372"/>
      <c r="BJ9" s="372"/>
      <c r="BK9" s="372"/>
      <c r="BL9" s="372"/>
      <c r="BM9" s="372"/>
      <c r="BN9" s="372"/>
      <c r="BO9" s="372"/>
      <c r="BP9" s="372"/>
      <c r="BQ9" s="372"/>
      <c r="BR9" s="371" t="n">
        <f aca="false">+D9+K9+S9+AD9+AU9+AX9+BD9+BH9+BL9+BP9+BQ9+BI9</f>
        <v>178</v>
      </c>
      <c r="BS9" s="374" t="n">
        <f aca="false">+((K9+S9+AD9+AU9+AX9+BD9)*0.5)+D9+BP9+BQ9</f>
        <v>99.5</v>
      </c>
    </row>
    <row r="10" customFormat="false" ht="13.2" hidden="false" customHeight="false" outlineLevel="0" collapsed="false">
      <c r="A10" s="354" t="n">
        <v>37062</v>
      </c>
      <c r="B10" s="371" t="n">
        <v>10</v>
      </c>
      <c r="C10" s="371" t="n">
        <v>10</v>
      </c>
      <c r="D10" s="372" t="n">
        <f aca="false">+C10+B10</f>
        <v>20</v>
      </c>
      <c r="E10" s="372" t="n">
        <v>10</v>
      </c>
      <c r="F10" s="372" t="n">
        <v>10</v>
      </c>
      <c r="G10" s="372"/>
      <c r="H10" s="372" t="n">
        <v>5</v>
      </c>
      <c r="I10" s="372"/>
      <c r="J10" s="372"/>
      <c r="K10" s="373" t="n">
        <f aca="false">SUM(E10:J10)</f>
        <v>25</v>
      </c>
      <c r="L10" s="372"/>
      <c r="M10" s="372"/>
      <c r="N10" s="372"/>
      <c r="O10" s="372"/>
      <c r="P10" s="372"/>
      <c r="Q10" s="372"/>
      <c r="R10" s="372" t="n">
        <v>10</v>
      </c>
      <c r="S10" s="373" t="n">
        <f aca="false">SUM(M10:R10)</f>
        <v>10</v>
      </c>
      <c r="T10" s="372"/>
      <c r="U10" s="372" t="n">
        <v>10</v>
      </c>
      <c r="V10" s="372"/>
      <c r="W10" s="372"/>
      <c r="X10" s="372"/>
      <c r="Y10" s="372"/>
      <c r="Z10" s="372"/>
      <c r="AA10" s="372"/>
      <c r="AB10" s="372" t="n">
        <v>10</v>
      </c>
      <c r="AC10" s="372"/>
      <c r="AD10" s="373" t="n">
        <f aca="false">SUM(T10:AC10)</f>
        <v>20</v>
      </c>
      <c r="AE10" s="372" t="n">
        <v>10</v>
      </c>
      <c r="AF10" s="372"/>
      <c r="AG10" s="372"/>
      <c r="AH10" s="372"/>
      <c r="AI10" s="372" t="n">
        <v>10.5</v>
      </c>
      <c r="AJ10" s="372"/>
      <c r="AK10" s="372"/>
      <c r="AL10" s="372"/>
      <c r="AM10" s="372"/>
      <c r="AN10" s="372"/>
      <c r="AO10" s="372" t="n">
        <v>0</v>
      </c>
      <c r="AP10" s="372"/>
      <c r="AQ10" s="372" t="n">
        <v>9.5</v>
      </c>
      <c r="AR10" s="372" t="n">
        <v>10</v>
      </c>
      <c r="AS10" s="372" t="n">
        <v>10</v>
      </c>
      <c r="AT10" s="372" t="n">
        <v>10</v>
      </c>
      <c r="AU10" s="373" t="n">
        <f aca="false">SUM(AE10:AT10)</f>
        <v>60</v>
      </c>
      <c r="AV10" s="372" t="n">
        <v>10</v>
      </c>
      <c r="AW10" s="372"/>
      <c r="AX10" s="373" t="n">
        <f aca="false">+AW10+AV10</f>
        <v>10</v>
      </c>
      <c r="AY10" s="372" t="n">
        <v>1</v>
      </c>
      <c r="AZ10" s="372" t="n">
        <v>2</v>
      </c>
      <c r="BA10" s="372" t="n">
        <v>1</v>
      </c>
      <c r="BB10" s="372"/>
      <c r="BC10" s="372" t="n">
        <v>10</v>
      </c>
      <c r="BD10" s="373" t="n">
        <f aca="false">SUM(AY10:BC10)</f>
        <v>14</v>
      </c>
      <c r="BE10" s="372"/>
      <c r="BF10" s="372"/>
      <c r="BG10" s="372"/>
      <c r="BH10" s="372"/>
      <c r="BI10" s="372"/>
      <c r="BJ10" s="372"/>
      <c r="BK10" s="372"/>
      <c r="BL10" s="372"/>
      <c r="BM10" s="372"/>
      <c r="BN10" s="372"/>
      <c r="BO10" s="372"/>
      <c r="BP10" s="372"/>
      <c r="BQ10" s="372"/>
      <c r="BR10" s="371" t="n">
        <f aca="false">+D10+K10+S10+AD10+AU10+AX10+BD10+BH10+BL10+BP10+BQ10+BI10</f>
        <v>159</v>
      </c>
      <c r="BS10" s="374" t="n">
        <f aca="false">+((K10+S10+AD10+AU10+AX10+BD10)*0.5)+D10+BP10+BQ10</f>
        <v>89.5</v>
      </c>
    </row>
    <row r="11" customFormat="false" ht="13.2" hidden="false" customHeight="false" outlineLevel="0" collapsed="false">
      <c r="A11" s="354" t="n">
        <v>37063</v>
      </c>
      <c r="B11" s="371" t="n">
        <v>10</v>
      </c>
      <c r="C11" s="371" t="n">
        <v>10</v>
      </c>
      <c r="D11" s="372" t="n">
        <f aca="false">+C11+B11</f>
        <v>20</v>
      </c>
      <c r="E11" s="372" t="n">
        <v>10</v>
      </c>
      <c r="F11" s="372"/>
      <c r="G11" s="372"/>
      <c r="H11" s="372" t="n">
        <v>5</v>
      </c>
      <c r="I11" s="372"/>
      <c r="J11" s="372"/>
      <c r="K11" s="373" t="n">
        <f aca="false">SUM(E11:J11)</f>
        <v>15</v>
      </c>
      <c r="L11" s="372" t="n">
        <v>1</v>
      </c>
      <c r="M11" s="372" t="n">
        <v>2</v>
      </c>
      <c r="N11" s="372"/>
      <c r="O11" s="372"/>
      <c r="P11" s="372"/>
      <c r="Q11" s="372"/>
      <c r="R11" s="372" t="n">
        <v>10</v>
      </c>
      <c r="S11" s="373" t="n">
        <f aca="false">SUM(M11:R11)</f>
        <v>12</v>
      </c>
      <c r="T11" s="372"/>
      <c r="U11" s="372"/>
      <c r="V11" s="372"/>
      <c r="W11" s="372"/>
      <c r="X11" s="372"/>
      <c r="Y11" s="372"/>
      <c r="Z11" s="372"/>
      <c r="AA11" s="372"/>
      <c r="AB11" s="372"/>
      <c r="AC11" s="372"/>
      <c r="AD11" s="373"/>
      <c r="AE11" s="372" t="n">
        <v>10</v>
      </c>
      <c r="AF11" s="372"/>
      <c r="AG11" s="372"/>
      <c r="AH11" s="372" t="n">
        <v>10</v>
      </c>
      <c r="AI11" s="372" t="n">
        <v>0</v>
      </c>
      <c r="AJ11" s="372"/>
      <c r="AK11" s="372"/>
      <c r="AL11" s="372"/>
      <c r="AM11" s="372"/>
      <c r="AN11" s="372"/>
      <c r="AO11" s="372" t="n">
        <v>0</v>
      </c>
      <c r="AP11" s="372"/>
      <c r="AQ11" s="372" t="n">
        <v>10</v>
      </c>
      <c r="AR11" s="372" t="n">
        <v>10</v>
      </c>
      <c r="AS11" s="372" t="n">
        <v>10.5</v>
      </c>
      <c r="AT11" s="372" t="n">
        <v>8.5</v>
      </c>
      <c r="AU11" s="373" t="n">
        <f aca="false">SUM(AE11:AT11)</f>
        <v>59</v>
      </c>
      <c r="AV11" s="372" t="n">
        <v>10</v>
      </c>
      <c r="AW11" s="372"/>
      <c r="AX11" s="373" t="n">
        <f aca="false">+AW11+AV11</f>
        <v>10</v>
      </c>
      <c r="AY11" s="372" t="n">
        <v>2</v>
      </c>
      <c r="AZ11" s="372" t="n">
        <v>4</v>
      </c>
      <c r="BA11" s="372" t="n">
        <v>5</v>
      </c>
      <c r="BB11" s="372"/>
      <c r="BC11" s="372" t="n">
        <v>10</v>
      </c>
      <c r="BD11" s="373" t="n">
        <f aca="false">SUM(AY11:BC11)</f>
        <v>21</v>
      </c>
      <c r="BE11" s="372"/>
      <c r="BF11" s="372"/>
      <c r="BG11" s="372"/>
      <c r="BH11" s="372"/>
      <c r="BI11" s="372"/>
      <c r="BJ11" s="372"/>
      <c r="BK11" s="372"/>
      <c r="BL11" s="372"/>
      <c r="BM11" s="372"/>
      <c r="BN11" s="372"/>
      <c r="BO11" s="372"/>
      <c r="BP11" s="372"/>
      <c r="BQ11" s="372"/>
      <c r="BR11" s="371" t="n">
        <f aca="false">+D11+K11+S11+AD11+AU11+AX11+BD11+BH11+BL11+BP11+BQ11+BI11</f>
        <v>137</v>
      </c>
      <c r="BS11" s="374" t="n">
        <f aca="false">+((K11+S11+AD11+AU11+AX11+BD11)*0.5)+D11+BP11+BQ11</f>
        <v>78.5</v>
      </c>
    </row>
    <row r="12" customFormat="false" ht="13.2" hidden="false" customHeight="false" outlineLevel="0" collapsed="false">
      <c r="A12" s="354" t="n">
        <v>37064</v>
      </c>
      <c r="B12" s="371" t="n">
        <v>9</v>
      </c>
      <c r="C12" s="371" t="n">
        <v>9</v>
      </c>
      <c r="D12" s="372" t="n">
        <f aca="false">+C12+B12</f>
        <v>18</v>
      </c>
      <c r="E12" s="372" t="n">
        <v>12</v>
      </c>
      <c r="F12" s="372"/>
      <c r="G12" s="372"/>
      <c r="H12" s="372" t="n">
        <v>7</v>
      </c>
      <c r="I12" s="372"/>
      <c r="J12" s="372"/>
      <c r="K12" s="373" t="n">
        <f aca="false">SUM(E12:J12)</f>
        <v>19</v>
      </c>
      <c r="L12" s="372"/>
      <c r="M12" s="372"/>
      <c r="N12" s="372"/>
      <c r="O12" s="372"/>
      <c r="P12" s="372"/>
      <c r="Q12" s="372"/>
      <c r="R12" s="372" t="n">
        <v>9</v>
      </c>
      <c r="S12" s="373" t="n">
        <f aca="false">SUM(M12:R12)</f>
        <v>9</v>
      </c>
      <c r="T12" s="372"/>
      <c r="U12" s="372"/>
      <c r="V12" s="372"/>
      <c r="W12" s="372"/>
      <c r="X12" s="372"/>
      <c r="Y12" s="372"/>
      <c r="Z12" s="372"/>
      <c r="AA12" s="372"/>
      <c r="AB12" s="372"/>
      <c r="AC12" s="372"/>
      <c r="AD12" s="373"/>
      <c r="AE12" s="372" t="n">
        <v>9</v>
      </c>
      <c r="AF12" s="372" t="n">
        <v>6.5</v>
      </c>
      <c r="AG12" s="372"/>
      <c r="AH12" s="372" t="n">
        <v>9</v>
      </c>
      <c r="AI12" s="372" t="n">
        <v>9</v>
      </c>
      <c r="AJ12" s="372" t="n">
        <v>9</v>
      </c>
      <c r="AK12" s="372"/>
      <c r="AL12" s="372"/>
      <c r="AM12" s="372" t="n">
        <v>5</v>
      </c>
      <c r="AN12" s="372"/>
      <c r="AO12" s="372"/>
      <c r="AP12" s="372"/>
      <c r="AQ12" s="372" t="n">
        <v>11</v>
      </c>
      <c r="AR12" s="372" t="n">
        <v>11.5</v>
      </c>
      <c r="AS12" s="372" t="n">
        <v>11.5</v>
      </c>
      <c r="AT12" s="372" t="n">
        <v>9</v>
      </c>
      <c r="AU12" s="373" t="n">
        <f aca="false">SUM(AE12:AT12)</f>
        <v>90.5</v>
      </c>
      <c r="AV12" s="372" t="n">
        <v>9</v>
      </c>
      <c r="AW12" s="372"/>
      <c r="AX12" s="373" t="n">
        <f aca="false">+AW12+AV12</f>
        <v>9</v>
      </c>
      <c r="AY12" s="372"/>
      <c r="AZ12" s="372" t="n">
        <v>2.5</v>
      </c>
      <c r="BA12" s="372" t="n">
        <v>13.5</v>
      </c>
      <c r="BB12" s="372"/>
      <c r="BC12" s="372" t="n">
        <v>3</v>
      </c>
      <c r="BD12" s="373" t="n">
        <f aca="false">SUM(AY12:BC12)</f>
        <v>19</v>
      </c>
      <c r="BE12" s="372"/>
      <c r="BF12" s="372"/>
      <c r="BG12" s="372"/>
      <c r="BH12" s="372"/>
      <c r="BI12" s="372"/>
      <c r="BJ12" s="372"/>
      <c r="BK12" s="372"/>
      <c r="BL12" s="372"/>
      <c r="BM12" s="372"/>
      <c r="BN12" s="372"/>
      <c r="BO12" s="372"/>
      <c r="BP12" s="372"/>
      <c r="BQ12" s="372" t="n">
        <v>2</v>
      </c>
      <c r="BR12" s="371" t="n">
        <f aca="false">+D12+K12+S12+AD12+AU12+AX12+BD12+BH12+BL12+BP12+BQ12+BI12</f>
        <v>166.5</v>
      </c>
      <c r="BS12" s="374" t="n">
        <f aca="false">+((K12+S12+AD12+AU12+AX12+BD12)*0.5)+D12+BP12+BQ12</f>
        <v>93.25</v>
      </c>
    </row>
    <row r="13" customFormat="false" ht="13.2" hidden="false" customHeight="false" outlineLevel="0" collapsed="false">
      <c r="A13" s="354" t="n">
        <v>37065</v>
      </c>
      <c r="B13" s="371" t="n">
        <v>13</v>
      </c>
      <c r="C13" s="371" t="n">
        <v>9.5</v>
      </c>
      <c r="D13" s="372" t="n">
        <f aca="false">+C13+B13</f>
        <v>22.5</v>
      </c>
      <c r="E13" s="372" t="n">
        <v>10.5</v>
      </c>
      <c r="F13" s="372"/>
      <c r="G13" s="372"/>
      <c r="H13" s="372" t="n">
        <v>5</v>
      </c>
      <c r="I13" s="372"/>
      <c r="J13" s="372"/>
      <c r="K13" s="373" t="n">
        <f aca="false">SUM(E13:J13)</f>
        <v>15.5</v>
      </c>
      <c r="L13" s="372"/>
      <c r="M13" s="372"/>
      <c r="N13" s="372"/>
      <c r="O13" s="372"/>
      <c r="P13" s="372"/>
      <c r="Q13" s="372"/>
      <c r="R13" s="372"/>
      <c r="S13" s="373"/>
      <c r="T13" s="372"/>
      <c r="U13" s="372"/>
      <c r="V13" s="372"/>
      <c r="W13" s="372"/>
      <c r="X13" s="372"/>
      <c r="Y13" s="372"/>
      <c r="Z13" s="372"/>
      <c r="AA13" s="372"/>
      <c r="AB13" s="372"/>
      <c r="AC13" s="372"/>
      <c r="AD13" s="373"/>
      <c r="AE13" s="372" t="n">
        <v>9.5</v>
      </c>
      <c r="AF13" s="372"/>
      <c r="AG13" s="372"/>
      <c r="AH13" s="372" t="n">
        <v>10</v>
      </c>
      <c r="AI13" s="372" t="n">
        <v>10</v>
      </c>
      <c r="AJ13" s="372" t="n">
        <v>10</v>
      </c>
      <c r="AK13" s="372"/>
      <c r="AL13" s="372"/>
      <c r="AM13" s="372"/>
      <c r="AN13" s="372"/>
      <c r="AO13" s="372"/>
      <c r="AP13" s="372"/>
      <c r="AQ13" s="372"/>
      <c r="AR13" s="372" t="n">
        <v>11.5</v>
      </c>
      <c r="AS13" s="372" t="n">
        <v>13</v>
      </c>
      <c r="AT13" s="372" t="n">
        <v>10</v>
      </c>
      <c r="AU13" s="373" t="n">
        <f aca="false">SUM(AE13:AT13)</f>
        <v>74</v>
      </c>
      <c r="AV13" s="372" t="n">
        <v>10</v>
      </c>
      <c r="AW13" s="372"/>
      <c r="AX13" s="373" t="n">
        <f aca="false">+AW13+AV13</f>
        <v>10</v>
      </c>
      <c r="AY13" s="372" t="n">
        <v>2</v>
      </c>
      <c r="AZ13" s="372" t="n">
        <v>4</v>
      </c>
      <c r="BA13" s="372" t="n">
        <v>10</v>
      </c>
      <c r="BB13" s="372"/>
      <c r="BC13" s="372" t="n">
        <v>4</v>
      </c>
      <c r="BD13" s="373" t="n">
        <f aca="false">SUM(AY13:BC13)</f>
        <v>20</v>
      </c>
      <c r="BE13" s="372"/>
      <c r="BF13" s="372"/>
      <c r="BG13" s="372"/>
      <c r="BH13" s="372"/>
      <c r="BI13" s="372"/>
      <c r="BJ13" s="372"/>
      <c r="BK13" s="372"/>
      <c r="BL13" s="372"/>
      <c r="BM13" s="372"/>
      <c r="BN13" s="372"/>
      <c r="BO13" s="372"/>
      <c r="BP13" s="372"/>
      <c r="BQ13" s="372"/>
      <c r="BR13" s="371" t="n">
        <f aca="false">+D13+K13+S13+AD13+AU13+AX13+BD13+BH13+BL13+BP13+BQ13+BI13</f>
        <v>142</v>
      </c>
      <c r="BS13" s="374" t="n">
        <f aca="false">+((K13+S13+AD13+AU13+AX13+BD13)*0.5)+D13+BP13+BQ13</f>
        <v>82.25</v>
      </c>
      <c r="BT13" s="375" t="n">
        <f aca="false">SUM(BS4:BS13)</f>
        <v>695.5</v>
      </c>
    </row>
    <row r="14" customFormat="false" ht="13.2" hidden="false" customHeight="false" outlineLevel="0" collapsed="false">
      <c r="A14" s="354" t="n">
        <v>37066</v>
      </c>
      <c r="B14" s="371" t="n">
        <v>11</v>
      </c>
      <c r="C14" s="371"/>
      <c r="D14" s="371" t="n">
        <f aca="false">+C14+B14</f>
        <v>11</v>
      </c>
      <c r="E14" s="371" t="n">
        <v>10</v>
      </c>
      <c r="F14" s="371"/>
      <c r="G14" s="371"/>
      <c r="H14" s="371" t="n">
        <v>4</v>
      </c>
      <c r="I14" s="371"/>
      <c r="J14" s="371"/>
      <c r="K14" s="376" t="n">
        <f aca="false">SUM(E14:J14)</f>
        <v>14</v>
      </c>
      <c r="L14" s="371"/>
      <c r="M14" s="371"/>
      <c r="N14" s="371"/>
      <c r="O14" s="371"/>
      <c r="P14" s="371"/>
      <c r="Q14" s="371"/>
      <c r="R14" s="371"/>
      <c r="S14" s="376"/>
      <c r="T14" s="371"/>
      <c r="U14" s="371"/>
      <c r="V14" s="371"/>
      <c r="W14" s="371"/>
      <c r="X14" s="371"/>
      <c r="Y14" s="371"/>
      <c r="Z14" s="371"/>
      <c r="AA14" s="371"/>
      <c r="AB14" s="371"/>
      <c r="AC14" s="371"/>
      <c r="AD14" s="376"/>
      <c r="AE14" s="371"/>
      <c r="AF14" s="371" t="n">
        <v>12.5</v>
      </c>
      <c r="AG14" s="371"/>
      <c r="AH14" s="371" t="n">
        <v>10</v>
      </c>
      <c r="AI14" s="371" t="n">
        <v>3</v>
      </c>
      <c r="AJ14" s="371" t="n">
        <v>10</v>
      </c>
      <c r="AK14" s="371"/>
      <c r="AL14" s="371"/>
      <c r="AM14" s="371"/>
      <c r="AN14" s="371"/>
      <c r="AO14" s="371"/>
      <c r="AP14" s="371"/>
      <c r="AQ14" s="371"/>
      <c r="AR14" s="371" t="n">
        <v>13</v>
      </c>
      <c r="AS14" s="371" t="n">
        <v>12</v>
      </c>
      <c r="AT14" s="371" t="n">
        <v>8</v>
      </c>
      <c r="AU14" s="376" t="n">
        <f aca="false">SUM(AE14:AT14)</f>
        <v>68.5</v>
      </c>
      <c r="AV14" s="371" t="n">
        <v>10</v>
      </c>
      <c r="AW14" s="371"/>
      <c r="AX14" s="376" t="n">
        <f aca="false">+AW14+AV14</f>
        <v>10</v>
      </c>
      <c r="AY14" s="371"/>
      <c r="AZ14" s="371" t="n">
        <v>1</v>
      </c>
      <c r="BA14" s="371" t="n">
        <v>12</v>
      </c>
      <c r="BB14" s="371"/>
      <c r="BC14" s="371" t="n">
        <v>10</v>
      </c>
      <c r="BD14" s="376" t="n">
        <f aca="false">SUM(AY14:BC14)</f>
        <v>23</v>
      </c>
      <c r="BE14" s="371"/>
      <c r="BF14" s="371"/>
      <c r="BG14" s="371"/>
      <c r="BH14" s="371"/>
      <c r="BI14" s="371"/>
      <c r="BJ14" s="371"/>
      <c r="BK14" s="371"/>
      <c r="BL14" s="371"/>
      <c r="BM14" s="371"/>
      <c r="BN14" s="371"/>
      <c r="BO14" s="371"/>
      <c r="BP14" s="371"/>
      <c r="BQ14" s="371"/>
      <c r="BR14" s="371" t="n">
        <f aca="false">+D14+K14+S14+AD14+AU14+AX14+BD14+BH14+BL14+BP14+BQ14+BI14</f>
        <v>126.5</v>
      </c>
      <c r="BS14" s="357" t="n">
        <f aca="false">+((K14+S14+AD14+AU14+AX14+BD14)*0.5)+D14+BP14+BQ14</f>
        <v>68.75</v>
      </c>
    </row>
    <row r="15" customFormat="false" ht="13.2" hidden="false" customHeight="false" outlineLevel="0" collapsed="false">
      <c r="A15" s="354" t="n">
        <v>37067</v>
      </c>
      <c r="B15" s="371"/>
      <c r="C15" s="371"/>
      <c r="D15" s="371"/>
      <c r="E15" s="371"/>
      <c r="F15" s="371"/>
      <c r="G15" s="371"/>
      <c r="H15" s="371" t="n">
        <v>4</v>
      </c>
      <c r="I15" s="371"/>
      <c r="J15" s="371"/>
      <c r="K15" s="376" t="n">
        <f aca="false">SUM(E15:J15)</f>
        <v>4</v>
      </c>
      <c r="L15" s="371"/>
      <c r="M15" s="371"/>
      <c r="N15" s="371"/>
      <c r="O15" s="371"/>
      <c r="P15" s="371"/>
      <c r="Q15" s="371"/>
      <c r="R15" s="371"/>
      <c r="S15" s="376"/>
      <c r="T15" s="371"/>
      <c r="U15" s="371"/>
      <c r="V15" s="371" t="n">
        <v>10</v>
      </c>
      <c r="W15" s="371" t="n">
        <v>10</v>
      </c>
      <c r="X15" s="371" t="n">
        <v>10</v>
      </c>
      <c r="Y15" s="371"/>
      <c r="Z15" s="371"/>
      <c r="AA15" s="371"/>
      <c r="AB15" s="371"/>
      <c r="AC15" s="371"/>
      <c r="AD15" s="376" t="n">
        <f aca="false">SUM(T15:AC15)</f>
        <v>30</v>
      </c>
      <c r="AE15" s="371" t="n">
        <v>3</v>
      </c>
      <c r="AF15" s="371" t="n">
        <v>12.5</v>
      </c>
      <c r="AG15" s="371"/>
      <c r="AH15" s="371"/>
      <c r="AI15" s="371"/>
      <c r="AJ15" s="371"/>
      <c r="AK15" s="371"/>
      <c r="AL15" s="371"/>
      <c r="AM15" s="371"/>
      <c r="AN15" s="371"/>
      <c r="AO15" s="371"/>
      <c r="AP15" s="371"/>
      <c r="AQ15" s="371"/>
      <c r="AR15" s="371"/>
      <c r="AS15" s="371"/>
      <c r="AT15" s="371"/>
      <c r="AU15" s="376" t="n">
        <f aca="false">SUM(AE15:AT15)</f>
        <v>15.5</v>
      </c>
      <c r="AV15" s="371" t="n">
        <v>10</v>
      </c>
      <c r="AW15" s="371"/>
      <c r="AX15" s="376" t="n">
        <f aca="false">+AW15+AV15</f>
        <v>10</v>
      </c>
      <c r="AY15" s="371"/>
      <c r="AZ15" s="371" t="n">
        <v>7.5</v>
      </c>
      <c r="BA15" s="371" t="n">
        <v>3.5</v>
      </c>
      <c r="BB15" s="371"/>
      <c r="BC15" s="371" t="n">
        <v>5</v>
      </c>
      <c r="BD15" s="376" t="n">
        <f aca="false">SUM(AY15:BC15)</f>
        <v>16</v>
      </c>
      <c r="BE15" s="371"/>
      <c r="BF15" s="371"/>
      <c r="BG15" s="371"/>
      <c r="BH15" s="371"/>
      <c r="BI15" s="371"/>
      <c r="BJ15" s="371"/>
      <c r="BK15" s="371"/>
      <c r="BL15" s="371"/>
      <c r="BM15" s="371"/>
      <c r="BN15" s="371"/>
      <c r="BO15" s="371"/>
      <c r="BP15" s="371"/>
      <c r="BQ15" s="371"/>
      <c r="BR15" s="371" t="n">
        <f aca="false">+D15+K15+S15+AD15+AU15+AX15+BD15+BH15+BL15+BP15+BQ15+BI15</f>
        <v>75.5</v>
      </c>
      <c r="BS15" s="357" t="n">
        <f aca="false">+((K15+S15+AD15+AU15+AX15+BD15)*0.5)+D15+BP15+BQ15</f>
        <v>37.75</v>
      </c>
    </row>
    <row r="16" customFormat="false" ht="13.2" hidden="false" customHeight="false" outlineLevel="0" collapsed="false">
      <c r="A16" s="354" t="n">
        <v>37068</v>
      </c>
      <c r="B16" s="371"/>
      <c r="C16" s="371"/>
      <c r="D16" s="371"/>
      <c r="E16" s="371"/>
      <c r="F16" s="371"/>
      <c r="G16" s="371"/>
      <c r="H16" s="371" t="n">
        <v>5</v>
      </c>
      <c r="I16" s="371"/>
      <c r="J16" s="371"/>
      <c r="K16" s="376" t="n">
        <f aca="false">SUM(E16:J16)</f>
        <v>5</v>
      </c>
      <c r="L16" s="371"/>
      <c r="M16" s="371"/>
      <c r="N16" s="371"/>
      <c r="O16" s="371"/>
      <c r="P16" s="371"/>
      <c r="Q16" s="371"/>
      <c r="R16" s="371"/>
      <c r="S16" s="376"/>
      <c r="T16" s="371"/>
      <c r="U16" s="371"/>
      <c r="V16" s="371"/>
      <c r="W16" s="371"/>
      <c r="X16" s="371"/>
      <c r="Y16" s="371"/>
      <c r="Z16" s="371"/>
      <c r="AA16" s="371"/>
      <c r="AB16" s="371"/>
      <c r="AC16" s="371"/>
      <c r="AD16" s="376"/>
      <c r="AE16" s="371"/>
      <c r="AF16" s="371" t="n">
        <v>12.5</v>
      </c>
      <c r="AG16" s="371"/>
      <c r="AH16" s="371"/>
      <c r="AI16" s="371" t="n">
        <v>5</v>
      </c>
      <c r="AJ16" s="371" t="n">
        <v>10</v>
      </c>
      <c r="AK16" s="371" t="n">
        <v>5</v>
      </c>
      <c r="AL16" s="371"/>
      <c r="AM16" s="371"/>
      <c r="AN16" s="371"/>
      <c r="AO16" s="371"/>
      <c r="AP16" s="371"/>
      <c r="AQ16" s="371"/>
      <c r="AR16" s="371" t="n">
        <v>0</v>
      </c>
      <c r="AS16" s="371" t="n">
        <v>11</v>
      </c>
      <c r="AT16" s="371" t="n">
        <v>0</v>
      </c>
      <c r="AU16" s="376" t="n">
        <f aca="false">SUM(AE16:AT16)</f>
        <v>43.5</v>
      </c>
      <c r="AV16" s="371" t="n">
        <v>6.5</v>
      </c>
      <c r="AW16" s="371"/>
      <c r="AX16" s="376" t="n">
        <f aca="false">+AW16+AV16</f>
        <v>6.5</v>
      </c>
      <c r="AY16" s="371" t="n">
        <v>0</v>
      </c>
      <c r="AZ16" s="371" t="n">
        <v>2</v>
      </c>
      <c r="BA16" s="371" t="n">
        <v>10</v>
      </c>
      <c r="BB16" s="371" t="n">
        <v>7.5</v>
      </c>
      <c r="BC16" s="371" t="n">
        <v>10</v>
      </c>
      <c r="BD16" s="376" t="n">
        <f aca="false">SUM(AY16:BC16)</f>
        <v>29.5</v>
      </c>
      <c r="BE16" s="371"/>
      <c r="BF16" s="371"/>
      <c r="BG16" s="371"/>
      <c r="BH16" s="371"/>
      <c r="BI16" s="371"/>
      <c r="BJ16" s="371"/>
      <c r="BK16" s="371"/>
      <c r="BL16" s="371"/>
      <c r="BM16" s="371"/>
      <c r="BN16" s="371"/>
      <c r="BO16" s="371"/>
      <c r="BP16" s="371"/>
      <c r="BQ16" s="371"/>
      <c r="BR16" s="371" t="n">
        <f aca="false">+D16+K16+S16+AD16+AU16+AX16+BD16+BH16+BL16+BP16+BQ16+BI16</f>
        <v>84.5</v>
      </c>
      <c r="BS16" s="357" t="n">
        <f aca="false">+((K16+S16+AD16+AU16+AX16+BD16)*0.5)+D16+BP16+BQ16</f>
        <v>42.25</v>
      </c>
    </row>
    <row r="17" customFormat="false" ht="13.2" hidden="false" customHeight="false" outlineLevel="0" collapsed="false">
      <c r="A17" s="354" t="n">
        <v>37069</v>
      </c>
      <c r="B17" s="371" t="n">
        <v>7</v>
      </c>
      <c r="C17" s="377" t="s">
        <v>660</v>
      </c>
      <c r="D17" s="371" t="n">
        <f aca="false">+B17</f>
        <v>7</v>
      </c>
      <c r="F17" s="371" t="n">
        <v>10</v>
      </c>
      <c r="G17" s="378"/>
      <c r="H17" s="371" t="n">
        <v>4</v>
      </c>
      <c r="I17" s="371"/>
      <c r="J17" s="371"/>
      <c r="K17" s="376" t="n">
        <f aca="false">SUM(E17:J17)</f>
        <v>14</v>
      </c>
      <c r="L17" s="371"/>
      <c r="M17" s="371"/>
      <c r="N17" s="371"/>
      <c r="O17" s="371"/>
      <c r="P17" s="371"/>
      <c r="Q17" s="371"/>
      <c r="R17" s="371"/>
      <c r="S17" s="376"/>
      <c r="T17" s="371"/>
      <c r="U17" s="371"/>
      <c r="V17" s="371"/>
      <c r="W17" s="371"/>
      <c r="X17" s="371"/>
      <c r="Y17" s="371"/>
      <c r="Z17" s="371"/>
      <c r="AA17" s="371"/>
      <c r="AB17" s="371" t="n">
        <v>10</v>
      </c>
      <c r="AC17" s="371" t="n">
        <v>10</v>
      </c>
      <c r="AD17" s="376" t="n">
        <f aca="false">SUM(T17:AC17)</f>
        <v>20</v>
      </c>
      <c r="AE17" s="371"/>
      <c r="AF17" s="371" t="n">
        <v>12.5</v>
      </c>
      <c r="AG17" s="371"/>
      <c r="AH17" s="371" t="n">
        <v>10</v>
      </c>
      <c r="AI17" s="371"/>
      <c r="AJ17" s="371" t="n">
        <v>10</v>
      </c>
      <c r="AK17" s="371"/>
      <c r="AL17" s="371"/>
      <c r="AM17" s="371"/>
      <c r="AN17" s="371"/>
      <c r="AO17" s="371"/>
      <c r="AP17" s="371"/>
      <c r="AQ17" s="371"/>
      <c r="AR17" s="371" t="n">
        <v>13</v>
      </c>
      <c r="AS17" s="371" t="n">
        <v>14</v>
      </c>
      <c r="AT17" s="371" t="n">
        <v>0</v>
      </c>
      <c r="AU17" s="376" t="n">
        <f aca="false">SUM(AE17:AT17)</f>
        <v>59.5</v>
      </c>
      <c r="AV17" s="371" t="n">
        <v>10</v>
      </c>
      <c r="AW17" s="371"/>
      <c r="AX17" s="376" t="n">
        <f aca="false">+AW17+AV17</f>
        <v>10</v>
      </c>
      <c r="AY17" s="371" t="n">
        <v>6</v>
      </c>
      <c r="AZ17" s="371"/>
      <c r="BA17" s="371"/>
      <c r="BB17" s="371" t="n">
        <v>12.5</v>
      </c>
      <c r="BC17" s="371" t="n">
        <v>7</v>
      </c>
      <c r="BD17" s="376" t="n">
        <f aca="false">SUM(AY17:BC17)</f>
        <v>25.5</v>
      </c>
      <c r="BE17" s="371"/>
      <c r="BF17" s="371"/>
      <c r="BG17" s="371"/>
      <c r="BH17" s="371"/>
      <c r="BI17" s="371"/>
      <c r="BJ17" s="371"/>
      <c r="BK17" s="371"/>
      <c r="BL17" s="371"/>
      <c r="BM17" s="371"/>
      <c r="BN17" s="371"/>
      <c r="BO17" s="371" t="n">
        <v>6</v>
      </c>
      <c r="BP17" s="371" t="n">
        <f aca="false">+BM17+BN17+BO17</f>
        <v>6</v>
      </c>
      <c r="BQ17" s="371"/>
      <c r="BR17" s="371" t="n">
        <f aca="false">+D17+K17+S17+AD17+AU17+AX17+BD17+BH17+BL17+BP17+BQ17+BI17</f>
        <v>142</v>
      </c>
      <c r="BS17" s="357" t="n">
        <f aca="false">+((K17+S17+AD17+AU17+AX17+BD17)*0.5)+D17+BP17+BQ17</f>
        <v>77.5</v>
      </c>
    </row>
    <row r="18" customFormat="false" ht="13.2" hidden="false" customHeight="false" outlineLevel="0" collapsed="false">
      <c r="A18" s="354" t="n">
        <v>37070</v>
      </c>
      <c r="B18" s="371" t="n">
        <v>7</v>
      </c>
      <c r="C18" s="377" t="s">
        <v>660</v>
      </c>
      <c r="D18" s="371" t="n">
        <f aca="false">+B18</f>
        <v>7</v>
      </c>
      <c r="F18" s="371"/>
      <c r="G18" s="378"/>
      <c r="H18" s="371" t="n">
        <v>2</v>
      </c>
      <c r="I18" s="371"/>
      <c r="J18" s="371"/>
      <c r="K18" s="376" t="n">
        <f aca="false">SUM(E18:J18)</f>
        <v>2</v>
      </c>
      <c r="L18" s="371"/>
      <c r="M18" s="371"/>
      <c r="N18" s="371"/>
      <c r="O18" s="371"/>
      <c r="P18" s="371"/>
      <c r="Q18" s="371"/>
      <c r="R18" s="371"/>
      <c r="S18" s="376"/>
      <c r="T18" s="371"/>
      <c r="U18" s="371"/>
      <c r="V18" s="371" t="n">
        <v>10</v>
      </c>
      <c r="W18" s="371" t="n">
        <v>10</v>
      </c>
      <c r="X18" s="371" t="n">
        <v>10</v>
      </c>
      <c r="Y18" s="371"/>
      <c r="Z18" s="371"/>
      <c r="AA18" s="371"/>
      <c r="AB18" s="371"/>
      <c r="AC18" s="371"/>
      <c r="AD18" s="376" t="n">
        <f aca="false">SUM(T18:AC18)</f>
        <v>30</v>
      </c>
      <c r="AE18" s="371"/>
      <c r="AF18" s="371" t="n">
        <v>13</v>
      </c>
      <c r="AG18" s="371"/>
      <c r="AH18" s="371" t="n">
        <v>10</v>
      </c>
      <c r="AI18" s="371"/>
      <c r="AJ18" s="371" t="n">
        <v>10</v>
      </c>
      <c r="AK18" s="371"/>
      <c r="AL18" s="371"/>
      <c r="AM18" s="371"/>
      <c r="AN18" s="371"/>
      <c r="AO18" s="371"/>
      <c r="AP18" s="371"/>
      <c r="AQ18" s="371" t="n">
        <v>10</v>
      </c>
      <c r="AR18" s="371" t="n">
        <v>10</v>
      </c>
      <c r="AS18" s="371" t="n">
        <v>11.5</v>
      </c>
      <c r="AT18" s="371" t="n">
        <v>10</v>
      </c>
      <c r="AU18" s="376" t="n">
        <f aca="false">SUM(AE18:AT18)</f>
        <v>74.5</v>
      </c>
      <c r="AV18" s="371" t="n">
        <v>10</v>
      </c>
      <c r="AW18" s="371"/>
      <c r="AX18" s="376" t="n">
        <f aca="false">+AW18+AV18</f>
        <v>10</v>
      </c>
      <c r="AY18" s="371"/>
      <c r="AZ18" s="371" t="n">
        <v>1</v>
      </c>
      <c r="BA18" s="371" t="n">
        <v>10</v>
      </c>
      <c r="BB18" s="371" t="n">
        <v>13</v>
      </c>
      <c r="BC18" s="371" t="n">
        <v>0</v>
      </c>
      <c r="BD18" s="376" t="n">
        <f aca="false">SUM(AY18:BC18)</f>
        <v>24</v>
      </c>
      <c r="BE18" s="371"/>
      <c r="BF18" s="371"/>
      <c r="BG18" s="371"/>
      <c r="BH18" s="371"/>
      <c r="BI18" s="371"/>
      <c r="BJ18" s="371"/>
      <c r="BK18" s="371"/>
      <c r="BL18" s="371"/>
      <c r="BM18" s="371"/>
      <c r="BN18" s="371"/>
      <c r="BO18" s="371"/>
      <c r="BP18" s="371"/>
      <c r="BQ18" s="371"/>
      <c r="BR18" s="371" t="n">
        <f aca="false">+D18+K18+S18+AD18+AU18+AX18+BD18+BH18+BL18+BP18+BQ18+BI18</f>
        <v>147.5</v>
      </c>
      <c r="BS18" s="357" t="n">
        <f aca="false">+((K18+S18+AD18+AU18+AX18+BD18)*0.5)+D18+BP18+BQ18</f>
        <v>77.25</v>
      </c>
    </row>
    <row r="19" customFormat="false" ht="13.2" hidden="false" customHeight="false" outlineLevel="0" collapsed="false">
      <c r="A19" s="354" t="n">
        <v>37071</v>
      </c>
      <c r="B19" s="371" t="n">
        <v>10</v>
      </c>
      <c r="C19" s="371"/>
      <c r="D19" s="371" t="n">
        <f aca="false">+C19+B19</f>
        <v>10</v>
      </c>
      <c r="E19" s="371" t="n">
        <v>3</v>
      </c>
      <c r="F19" s="371"/>
      <c r="G19" s="371"/>
      <c r="H19" s="371"/>
      <c r="I19" s="371"/>
      <c r="J19" s="371"/>
      <c r="K19" s="376" t="n">
        <f aca="false">SUM(E19:J19)</f>
        <v>3</v>
      </c>
      <c r="L19" s="371"/>
      <c r="M19" s="371"/>
      <c r="N19" s="371"/>
      <c r="O19" s="371"/>
      <c r="P19" s="371"/>
      <c r="Q19" s="371"/>
      <c r="R19" s="371"/>
      <c r="S19" s="376"/>
      <c r="T19" s="371"/>
      <c r="U19" s="371"/>
      <c r="V19" s="371"/>
      <c r="W19" s="371"/>
      <c r="X19" s="371"/>
      <c r="Y19" s="371" t="n">
        <v>9</v>
      </c>
      <c r="Z19" s="371"/>
      <c r="AA19" s="371"/>
      <c r="AB19" s="371"/>
      <c r="AC19" s="371"/>
      <c r="AD19" s="376" t="n">
        <f aca="false">SUM(T19:AC19)</f>
        <v>9</v>
      </c>
      <c r="AE19" s="371"/>
      <c r="AF19" s="371" t="n">
        <v>12.5</v>
      </c>
      <c r="AG19" s="371"/>
      <c r="AH19" s="371" t="n">
        <v>9</v>
      </c>
      <c r="AI19" s="371"/>
      <c r="AJ19" s="371"/>
      <c r="AK19" s="371"/>
      <c r="AL19" s="371"/>
      <c r="AM19" s="371"/>
      <c r="AN19" s="371"/>
      <c r="AO19" s="371"/>
      <c r="AP19" s="371"/>
      <c r="AQ19" s="371" t="n">
        <v>9</v>
      </c>
      <c r="AR19" s="371" t="n">
        <v>8.5</v>
      </c>
      <c r="AS19" s="371" t="n">
        <v>9</v>
      </c>
      <c r="AT19" s="371" t="n">
        <v>9</v>
      </c>
      <c r="AU19" s="376" t="n">
        <f aca="false">SUM(AE19:AT19)</f>
        <v>57</v>
      </c>
      <c r="AV19" s="371" t="n">
        <v>13.5</v>
      </c>
      <c r="AW19" s="371"/>
      <c r="AX19" s="376" t="n">
        <f aca="false">+AW19+AV19</f>
        <v>13.5</v>
      </c>
      <c r="AY19" s="371"/>
      <c r="AZ19" s="371" t="n">
        <v>1</v>
      </c>
      <c r="BA19" s="371" t="n">
        <v>9</v>
      </c>
      <c r="BB19" s="371" t="n">
        <v>12.5</v>
      </c>
      <c r="BC19" s="371" t="n">
        <v>3</v>
      </c>
      <c r="BD19" s="376" t="n">
        <f aca="false">SUM(AY19:BC19)</f>
        <v>25.5</v>
      </c>
      <c r="BE19" s="371"/>
      <c r="BF19" s="371"/>
      <c r="BG19" s="371"/>
      <c r="BH19" s="371"/>
      <c r="BI19" s="371"/>
      <c r="BJ19" s="371"/>
      <c r="BK19" s="371"/>
      <c r="BL19" s="371"/>
      <c r="BM19" s="371"/>
      <c r="BN19" s="371"/>
      <c r="BO19" s="371"/>
      <c r="BP19" s="371"/>
      <c r="BQ19" s="371"/>
      <c r="BR19" s="371" t="n">
        <f aca="false">+D19+K19+S19+AD19+AU19+AX19+BD19+BH19+BL19+BP19+BQ19+BI19</f>
        <v>118</v>
      </c>
      <c r="BS19" s="357" t="n">
        <f aca="false">+((K19+S19+AD19+AU19+AX19+BD19)*0.5)+D19+BP19+BQ19</f>
        <v>64</v>
      </c>
    </row>
    <row r="20" customFormat="false" ht="13.2" hidden="false" customHeight="false" outlineLevel="0" collapsed="false">
      <c r="A20" s="354" t="n">
        <v>37072</v>
      </c>
      <c r="B20" s="371" t="n">
        <v>11</v>
      </c>
      <c r="C20" s="371"/>
      <c r="D20" s="371" t="n">
        <f aca="false">+C20+B20</f>
        <v>11</v>
      </c>
      <c r="E20" s="371"/>
      <c r="F20" s="371"/>
      <c r="G20" s="371"/>
      <c r="H20" s="371"/>
      <c r="I20" s="371"/>
      <c r="J20" s="371"/>
      <c r="K20" s="376" t="n">
        <f aca="false">SUM(E20:J20)</f>
        <v>0</v>
      </c>
      <c r="L20" s="371"/>
      <c r="M20" s="371"/>
      <c r="N20" s="371"/>
      <c r="O20" s="371"/>
      <c r="P20" s="371"/>
      <c r="Q20" s="371"/>
      <c r="R20" s="371"/>
      <c r="S20" s="376"/>
      <c r="T20" s="371"/>
      <c r="U20" s="371"/>
      <c r="V20" s="371"/>
      <c r="W20" s="371"/>
      <c r="X20" s="371"/>
      <c r="Y20" s="371"/>
      <c r="Z20" s="371"/>
      <c r="AA20" s="371"/>
      <c r="AB20" s="371"/>
      <c r="AC20" s="371"/>
      <c r="AD20" s="376"/>
      <c r="AE20" s="371"/>
      <c r="AF20" s="371" t="n">
        <v>12.5</v>
      </c>
      <c r="AG20" s="371"/>
      <c r="AH20" s="371" t="n">
        <v>10</v>
      </c>
      <c r="AI20" s="371"/>
      <c r="AJ20" s="371"/>
      <c r="AK20" s="371"/>
      <c r="AL20" s="371"/>
      <c r="AM20" s="371"/>
      <c r="AN20" s="371"/>
      <c r="AO20" s="371"/>
      <c r="AP20" s="371"/>
      <c r="AQ20" s="371" t="n">
        <v>10</v>
      </c>
      <c r="AR20" s="371" t="n">
        <v>8.5</v>
      </c>
      <c r="AS20" s="371"/>
      <c r="AT20" s="371" t="n">
        <v>10</v>
      </c>
      <c r="AU20" s="376" t="n">
        <f aca="false">SUM(AE20:AT20)</f>
        <v>51</v>
      </c>
      <c r="AV20" s="371"/>
      <c r="AW20" s="371"/>
      <c r="AX20" s="376"/>
      <c r="AY20" s="371" t="n">
        <v>1</v>
      </c>
      <c r="AZ20" s="371" t="n">
        <v>1</v>
      </c>
      <c r="BA20" s="371" t="n">
        <v>8</v>
      </c>
      <c r="BB20" s="371" t="n">
        <v>12.5</v>
      </c>
      <c r="BC20" s="371" t="n">
        <v>7</v>
      </c>
      <c r="BD20" s="376" t="n">
        <f aca="false">SUM(AY20:BC20)</f>
        <v>29.5</v>
      </c>
      <c r="BE20" s="371"/>
      <c r="BF20" s="371"/>
      <c r="BG20" s="371"/>
      <c r="BH20" s="371"/>
      <c r="BI20" s="371"/>
      <c r="BJ20" s="371"/>
      <c r="BK20" s="371"/>
      <c r="BL20" s="371"/>
      <c r="BM20" s="371"/>
      <c r="BN20" s="371"/>
      <c r="BO20" s="371"/>
      <c r="BP20" s="371"/>
      <c r="BQ20" s="371"/>
      <c r="BR20" s="371" t="n">
        <f aca="false">+D20+K20+S20+AD20+AU20+AX20+BD20+BH20+BL20+BP20+BQ20+BI20</f>
        <v>91.5</v>
      </c>
      <c r="BS20" s="357" t="n">
        <f aca="false">+((K20+S20+AD20+AU20+AX20+BD20)*0.5)+D20+BP20+BQ20</f>
        <v>51.25</v>
      </c>
    </row>
    <row r="21" customFormat="false" ht="13.2" hidden="false" customHeight="false" outlineLevel="0" collapsed="false">
      <c r="A21" s="354" t="n">
        <v>37073</v>
      </c>
      <c r="B21" s="371" t="n">
        <v>11</v>
      </c>
      <c r="C21" s="371"/>
      <c r="D21" s="371" t="n">
        <f aca="false">+C21+B21</f>
        <v>11</v>
      </c>
      <c r="E21" s="371" t="n">
        <v>11</v>
      </c>
      <c r="F21" s="371"/>
      <c r="G21" s="371"/>
      <c r="H21" s="371" t="n">
        <v>0</v>
      </c>
      <c r="I21" s="371"/>
      <c r="J21" s="371"/>
      <c r="K21" s="376" t="n">
        <f aca="false">SUM(E21:J21)</f>
        <v>11</v>
      </c>
      <c r="L21" s="371"/>
      <c r="M21" s="371"/>
      <c r="N21" s="371"/>
      <c r="O21" s="371"/>
      <c r="P21" s="371"/>
      <c r="Q21" s="371"/>
      <c r="R21" s="371"/>
      <c r="S21" s="376"/>
      <c r="T21" s="371"/>
      <c r="U21" s="371"/>
      <c r="V21" s="371"/>
      <c r="W21" s="371"/>
      <c r="X21" s="371"/>
      <c r="Y21" s="371"/>
      <c r="Z21" s="371"/>
      <c r="AA21" s="371"/>
      <c r="AB21" s="371"/>
      <c r="AC21" s="371"/>
      <c r="AD21" s="376"/>
      <c r="AE21" s="371"/>
      <c r="AF21" s="371" t="n">
        <v>13</v>
      </c>
      <c r="AG21" s="371"/>
      <c r="AH21" s="371" t="n">
        <v>10</v>
      </c>
      <c r="AI21" s="371"/>
      <c r="AJ21" s="371"/>
      <c r="AK21" s="371"/>
      <c r="AL21" s="371"/>
      <c r="AM21" s="371"/>
      <c r="AN21" s="371"/>
      <c r="AO21" s="371"/>
      <c r="AP21" s="371"/>
      <c r="AQ21" s="371"/>
      <c r="AR21" s="371"/>
      <c r="AS21" s="371"/>
      <c r="AT21" s="371"/>
      <c r="AU21" s="376" t="n">
        <f aca="false">SUM(AE21:AT21)</f>
        <v>23</v>
      </c>
      <c r="AV21" s="371"/>
      <c r="AW21" s="371"/>
      <c r="AX21" s="376"/>
      <c r="AY21" s="371" t="n">
        <v>1</v>
      </c>
      <c r="AZ21" s="371" t="n">
        <v>1</v>
      </c>
      <c r="BA21" s="371" t="n">
        <v>12</v>
      </c>
      <c r="BB21" s="371" t="n">
        <v>13</v>
      </c>
      <c r="BC21" s="371" t="n">
        <v>11</v>
      </c>
      <c r="BD21" s="376" t="n">
        <f aca="false">SUM(AY21:BC21)</f>
        <v>38</v>
      </c>
      <c r="BE21" s="371"/>
      <c r="BF21" s="371"/>
      <c r="BG21" s="371"/>
      <c r="BH21" s="371"/>
      <c r="BI21" s="371"/>
      <c r="BJ21" s="371"/>
      <c r="BK21" s="371"/>
      <c r="BL21" s="371"/>
      <c r="BM21" s="371"/>
      <c r="BN21" s="371"/>
      <c r="BO21" s="371"/>
      <c r="BP21" s="371"/>
      <c r="BQ21" s="371"/>
      <c r="BR21" s="371" t="n">
        <f aca="false">+D21+K21+S21+AD21+AU21+AX21+BD21+BH21+BL21+BP21+BQ21+BI21</f>
        <v>83</v>
      </c>
      <c r="BS21" s="357" t="n">
        <f aca="false">+((K21+S21+AD21+AU21+AX21+BD21)*0.5)+D21+BP21+BQ21</f>
        <v>47</v>
      </c>
    </row>
    <row r="22" customFormat="false" ht="13.2" hidden="false" customHeight="false" outlineLevel="0" collapsed="false">
      <c r="A22" s="354" t="n">
        <v>37074</v>
      </c>
      <c r="B22" s="371" t="n">
        <v>9</v>
      </c>
      <c r="C22" s="371"/>
      <c r="D22" s="371" t="n">
        <f aca="false">+C22+B22</f>
        <v>9</v>
      </c>
      <c r="E22" s="371" t="s">
        <v>659</v>
      </c>
      <c r="F22" s="371" t="n">
        <v>8</v>
      </c>
      <c r="G22" s="371"/>
      <c r="H22" s="371"/>
      <c r="I22" s="371"/>
      <c r="J22" s="371"/>
      <c r="K22" s="376" t="n">
        <f aca="false">SUM(E22:J22)</f>
        <v>8</v>
      </c>
      <c r="L22" s="371"/>
      <c r="M22" s="371"/>
      <c r="N22" s="371"/>
      <c r="O22" s="371"/>
      <c r="P22" s="371"/>
      <c r="Q22" s="371"/>
      <c r="R22" s="371"/>
      <c r="S22" s="376"/>
      <c r="T22" s="371"/>
      <c r="U22" s="371"/>
      <c r="V22" s="371"/>
      <c r="W22" s="371"/>
      <c r="X22" s="371"/>
      <c r="Y22" s="371"/>
      <c r="Z22" s="371"/>
      <c r="AA22" s="371"/>
      <c r="AB22" s="371"/>
      <c r="AC22" s="371"/>
      <c r="AD22" s="376"/>
      <c r="AE22" s="371"/>
      <c r="AF22" s="371" t="n">
        <v>12.5</v>
      </c>
      <c r="AG22" s="371"/>
      <c r="AH22" s="371"/>
      <c r="AI22" s="371"/>
      <c r="AJ22" s="371"/>
      <c r="AK22" s="371"/>
      <c r="AL22" s="371"/>
      <c r="AM22" s="371"/>
      <c r="AN22" s="371"/>
      <c r="AO22" s="371"/>
      <c r="AP22" s="371"/>
      <c r="AQ22" s="371" t="n">
        <v>2</v>
      </c>
      <c r="AR22" s="371"/>
      <c r="AS22" s="371"/>
      <c r="AT22" s="371"/>
      <c r="AU22" s="376" t="n">
        <f aca="false">SUM(AE22:AT22)</f>
        <v>14.5</v>
      </c>
      <c r="AV22" s="371" t="n">
        <v>5</v>
      </c>
      <c r="AW22" s="371"/>
      <c r="AX22" s="376" t="n">
        <f aca="false">+AW22+AV22</f>
        <v>5</v>
      </c>
      <c r="AY22" s="371"/>
      <c r="AZ22" s="371" t="n">
        <v>0</v>
      </c>
      <c r="BA22" s="371" t="n">
        <v>12</v>
      </c>
      <c r="BB22" s="371" t="n">
        <v>12.5</v>
      </c>
      <c r="BC22" s="371" t="n">
        <v>0</v>
      </c>
      <c r="BD22" s="376" t="n">
        <f aca="false">SUM(AY22:BC22)</f>
        <v>24.5</v>
      </c>
      <c r="BE22" s="371"/>
      <c r="BF22" s="371"/>
      <c r="BG22" s="371"/>
      <c r="BH22" s="371"/>
      <c r="BI22" s="371"/>
      <c r="BJ22" s="371"/>
      <c r="BK22" s="371"/>
      <c r="BL22" s="371"/>
      <c r="BM22" s="371"/>
      <c r="BN22" s="371"/>
      <c r="BO22" s="371"/>
      <c r="BP22" s="371"/>
      <c r="BQ22" s="371"/>
      <c r="BR22" s="371" t="n">
        <f aca="false">+D22+K22+S22+AD22+AU22+AX22+BD22+BH22+BL22+BP22+BQ22+BI22</f>
        <v>61</v>
      </c>
      <c r="BS22" s="357" t="n">
        <f aca="false">+((K22+S22+AD22+AU22+AX22+BD22)*0.5)+D22+BP22+BQ22</f>
        <v>35</v>
      </c>
    </row>
    <row r="23" customFormat="false" ht="13.2" hidden="false" customHeight="false" outlineLevel="0" collapsed="false">
      <c r="A23" s="354" t="n">
        <v>37075</v>
      </c>
      <c r="B23" s="371" t="n">
        <v>11.5</v>
      </c>
      <c r="C23" s="371"/>
      <c r="D23" s="371" t="n">
        <f aca="false">+C23+B23</f>
        <v>11.5</v>
      </c>
      <c r="E23" s="371"/>
      <c r="F23" s="371"/>
      <c r="G23" s="371"/>
      <c r="H23" s="371"/>
      <c r="I23" s="371"/>
      <c r="J23" s="371"/>
      <c r="K23" s="376"/>
      <c r="L23" s="371"/>
      <c r="M23" s="371"/>
      <c r="N23" s="371" t="n">
        <v>10</v>
      </c>
      <c r="O23" s="371" t="n">
        <v>10</v>
      </c>
      <c r="P23" s="371"/>
      <c r="Q23" s="371"/>
      <c r="R23" s="371"/>
      <c r="S23" s="376" t="n">
        <f aca="false">SUM(M23:R23)</f>
        <v>20</v>
      </c>
      <c r="T23" s="371"/>
      <c r="U23" s="371"/>
      <c r="V23" s="371"/>
      <c r="W23" s="371"/>
      <c r="X23" s="371"/>
      <c r="Y23" s="371"/>
      <c r="Z23" s="371"/>
      <c r="AA23" s="371"/>
      <c r="AB23" s="371"/>
      <c r="AC23" s="371"/>
      <c r="AD23" s="376"/>
      <c r="AE23" s="371"/>
      <c r="AF23" s="371"/>
      <c r="AG23" s="371"/>
      <c r="AH23" s="371" t="n">
        <v>10</v>
      </c>
      <c r="AI23" s="371"/>
      <c r="AJ23" s="371"/>
      <c r="AK23" s="371" t="n">
        <v>10</v>
      </c>
      <c r="AL23" s="371" t="n">
        <v>10</v>
      </c>
      <c r="AM23" s="371" t="n">
        <v>10</v>
      </c>
      <c r="AN23" s="371" t="n">
        <v>10</v>
      </c>
      <c r="AO23" s="371"/>
      <c r="AP23" s="371"/>
      <c r="AQ23" s="371" t="n">
        <v>10</v>
      </c>
      <c r="AR23" s="371" t="n">
        <v>10.5</v>
      </c>
      <c r="AS23" s="371" t="n">
        <v>13.5</v>
      </c>
      <c r="AT23" s="371" t="n">
        <v>10</v>
      </c>
      <c r="AU23" s="376" t="n">
        <f aca="false">SUM(AE23:AT23)</f>
        <v>94</v>
      </c>
      <c r="AV23" s="371" t="n">
        <v>8</v>
      </c>
      <c r="AW23" s="371"/>
      <c r="AX23" s="376" t="n">
        <f aca="false">+AW23+AV23</f>
        <v>8</v>
      </c>
      <c r="AY23" s="371" t="n">
        <v>1</v>
      </c>
      <c r="AZ23" s="371" t="n">
        <v>1</v>
      </c>
      <c r="BA23" s="371" t="n">
        <v>6</v>
      </c>
      <c r="BB23" s="371"/>
      <c r="BC23" s="371"/>
      <c r="BD23" s="376" t="n">
        <f aca="false">SUM(AY23:BC23)</f>
        <v>8</v>
      </c>
      <c r="BE23" s="371"/>
      <c r="BF23" s="371"/>
      <c r="BG23" s="371"/>
      <c r="BH23" s="371"/>
      <c r="BI23" s="371"/>
      <c r="BJ23" s="371"/>
      <c r="BK23" s="371"/>
      <c r="BL23" s="371"/>
      <c r="BM23" s="371"/>
      <c r="BN23" s="371"/>
      <c r="BO23" s="371"/>
      <c r="BP23" s="371"/>
      <c r="BQ23" s="371"/>
      <c r="BR23" s="371" t="n">
        <f aca="false">+D23+K23+S23+AD23+AU23+AX23+BD23+BH23+BL23+BP23+BQ23+BI23</f>
        <v>141.5</v>
      </c>
      <c r="BS23" s="357" t="n">
        <f aca="false">+((K23+S23+AD23+AU23+AX23+BD23)*0.5)+D23+BP23+BQ23</f>
        <v>76.5</v>
      </c>
    </row>
    <row r="24" customFormat="false" ht="13.2" hidden="false" customHeight="false" outlineLevel="0" collapsed="false">
      <c r="A24" s="354" t="n">
        <v>37076</v>
      </c>
      <c r="B24" s="371" t="n">
        <v>13</v>
      </c>
      <c r="C24" s="371"/>
      <c r="D24" s="371" t="n">
        <f aca="false">+C24+B24</f>
        <v>13</v>
      </c>
      <c r="E24" s="371"/>
      <c r="F24" s="371" t="n">
        <v>11.5</v>
      </c>
      <c r="G24" s="371"/>
      <c r="H24" s="371"/>
      <c r="I24" s="371"/>
      <c r="J24" s="371"/>
      <c r="K24" s="376" t="n">
        <f aca="false">SUM(E24:J24)</f>
        <v>11.5</v>
      </c>
      <c r="L24" s="371"/>
      <c r="M24" s="371" t="n">
        <v>10</v>
      </c>
      <c r="N24" s="371" t="n">
        <v>0</v>
      </c>
      <c r="O24" s="371" t="n">
        <v>5</v>
      </c>
      <c r="P24" s="371"/>
      <c r="Q24" s="371"/>
      <c r="R24" s="371"/>
      <c r="S24" s="376" t="n">
        <f aca="false">SUM(M24:R24)</f>
        <v>15</v>
      </c>
      <c r="T24" s="371"/>
      <c r="U24" s="371"/>
      <c r="V24" s="371"/>
      <c r="W24" s="371"/>
      <c r="X24" s="371"/>
      <c r="Y24" s="371"/>
      <c r="Z24" s="371"/>
      <c r="AA24" s="371"/>
      <c r="AB24" s="371"/>
      <c r="AC24" s="371"/>
      <c r="AD24" s="376"/>
      <c r="AE24" s="371"/>
      <c r="AF24" s="371" t="n">
        <v>7</v>
      </c>
      <c r="AG24" s="371"/>
      <c r="AH24" s="371"/>
      <c r="AI24" s="371" t="n">
        <v>5</v>
      </c>
      <c r="AJ24" s="371"/>
      <c r="AK24" s="371" t="n">
        <v>3.5</v>
      </c>
      <c r="AL24" s="371" t="n">
        <v>3.5</v>
      </c>
      <c r="AM24" s="371" t="n">
        <v>5</v>
      </c>
      <c r="AN24" s="371"/>
      <c r="AO24" s="371"/>
      <c r="AP24" s="371"/>
      <c r="AQ24" s="371" t="n">
        <v>12</v>
      </c>
      <c r="AR24" s="371" t="n">
        <v>5.5</v>
      </c>
      <c r="AS24" s="371" t="n">
        <v>12</v>
      </c>
      <c r="AT24" s="371" t="n">
        <v>10</v>
      </c>
      <c r="AU24" s="376" t="n">
        <f aca="false">SUM(AE24:AT24)</f>
        <v>63.5</v>
      </c>
      <c r="AV24" s="371" t="n">
        <v>5</v>
      </c>
      <c r="AW24" s="371"/>
      <c r="AX24" s="376" t="n">
        <f aca="false">+AW24+AV24</f>
        <v>5</v>
      </c>
      <c r="AY24" s="371"/>
      <c r="AZ24" s="371" t="n">
        <v>1</v>
      </c>
      <c r="BA24" s="371" t="n">
        <v>12</v>
      </c>
      <c r="BB24" s="371" t="n">
        <v>13</v>
      </c>
      <c r="BC24" s="371" t="n">
        <v>0</v>
      </c>
      <c r="BD24" s="376" t="n">
        <f aca="false">SUM(AY24:BC24)</f>
        <v>26</v>
      </c>
      <c r="BE24" s="371"/>
      <c r="BF24" s="371"/>
      <c r="BG24" s="371"/>
      <c r="BH24" s="371"/>
      <c r="BI24" s="371"/>
      <c r="BJ24" s="371"/>
      <c r="BK24" s="371"/>
      <c r="BL24" s="371"/>
      <c r="BM24" s="371"/>
      <c r="BN24" s="371"/>
      <c r="BO24" s="371"/>
      <c r="BP24" s="371"/>
      <c r="BQ24" s="371"/>
      <c r="BR24" s="371" t="n">
        <f aca="false">+D24+K24+S24+AD24+AU24+AX24+BD24+BH24+BL24+BP24+BQ24+BI24</f>
        <v>134</v>
      </c>
      <c r="BS24" s="357" t="n">
        <f aca="false">+((K24+S24+AD24+AU24+AX24+BD24)*0.5)+D24+BP24+BQ24</f>
        <v>73.5</v>
      </c>
    </row>
    <row r="25" customFormat="false" ht="13.2" hidden="false" customHeight="false" outlineLevel="0" collapsed="false">
      <c r="A25" s="354" t="n">
        <v>37077</v>
      </c>
      <c r="B25" s="371" t="n">
        <v>8</v>
      </c>
      <c r="C25" s="377" t="s">
        <v>661</v>
      </c>
      <c r="D25" s="371" t="n">
        <f aca="false">+B25</f>
        <v>8</v>
      </c>
      <c r="F25" s="371" t="n">
        <v>11.5</v>
      </c>
      <c r="G25" s="371"/>
      <c r="H25" s="371"/>
      <c r="I25" s="371"/>
      <c r="J25" s="371"/>
      <c r="K25" s="376" t="n">
        <f aca="false">SUM(E25:J25)</f>
        <v>11.5</v>
      </c>
      <c r="L25" s="371"/>
      <c r="M25" s="371" t="n">
        <v>10</v>
      </c>
      <c r="N25" s="371" t="n">
        <v>0</v>
      </c>
      <c r="O25" s="371" t="n">
        <v>10</v>
      </c>
      <c r="P25" s="371"/>
      <c r="Q25" s="371"/>
      <c r="R25" s="371"/>
      <c r="S25" s="376" t="n">
        <f aca="false">SUM(M25:R25)</f>
        <v>20</v>
      </c>
      <c r="T25" s="371"/>
      <c r="U25" s="371"/>
      <c r="V25" s="371"/>
      <c r="W25" s="371"/>
      <c r="X25" s="371"/>
      <c r="Y25" s="371"/>
      <c r="Z25" s="371"/>
      <c r="AA25" s="371"/>
      <c r="AB25" s="371"/>
      <c r="AC25" s="371"/>
      <c r="AD25" s="376"/>
      <c r="AE25" s="371"/>
      <c r="AF25" s="371" t="n">
        <v>6</v>
      </c>
      <c r="AG25" s="371"/>
      <c r="AH25" s="371" t="n">
        <v>10</v>
      </c>
      <c r="AI25" s="371" t="n">
        <v>10</v>
      </c>
      <c r="AJ25" s="371"/>
      <c r="AK25" s="371" t="n">
        <v>5</v>
      </c>
      <c r="AL25" s="371" t="n">
        <v>5</v>
      </c>
      <c r="AM25" s="371" t="n">
        <v>10</v>
      </c>
      <c r="AN25" s="371"/>
      <c r="AO25" s="371"/>
      <c r="AP25" s="371"/>
      <c r="AQ25" s="371" t="n">
        <v>5</v>
      </c>
      <c r="AR25" s="371" t="n">
        <v>5</v>
      </c>
      <c r="AS25" s="371" t="n">
        <v>12</v>
      </c>
      <c r="AT25" s="371"/>
      <c r="AU25" s="376" t="n">
        <f aca="false">SUM(AE25:AT25)</f>
        <v>68</v>
      </c>
      <c r="AV25" s="371"/>
      <c r="AW25" s="371"/>
      <c r="AX25" s="376"/>
      <c r="AY25" s="371" t="n">
        <v>1</v>
      </c>
      <c r="AZ25" s="371" t="n">
        <v>1</v>
      </c>
      <c r="BA25" s="371" t="n">
        <v>8</v>
      </c>
      <c r="BB25" s="371" t="n">
        <v>13</v>
      </c>
      <c r="BC25" s="371" t="n">
        <v>11.5</v>
      </c>
      <c r="BD25" s="376" t="n">
        <f aca="false">SUM(AY25:BC25)</f>
        <v>34.5</v>
      </c>
      <c r="BE25" s="371"/>
      <c r="BF25" s="371"/>
      <c r="BG25" s="371"/>
      <c r="BH25" s="371"/>
      <c r="BI25" s="371"/>
      <c r="BJ25" s="371"/>
      <c r="BK25" s="371"/>
      <c r="BL25" s="371"/>
      <c r="BM25" s="371"/>
      <c r="BN25" s="371"/>
      <c r="BO25" s="371"/>
      <c r="BP25" s="371"/>
      <c r="BQ25" s="371"/>
      <c r="BR25" s="371" t="n">
        <f aca="false">+D25+K25+S25+AD25+AU25+AX25+BD25+BH25+BL25+BP25+BQ25+BI25</f>
        <v>142</v>
      </c>
      <c r="BS25" s="357" t="n">
        <f aca="false">+((K25+S25+AD25+AU25+AX25+BD25)*0.5)+D25+BP25+BQ25</f>
        <v>75</v>
      </c>
    </row>
    <row r="26" customFormat="false" ht="13.2" hidden="false" customHeight="false" outlineLevel="0" collapsed="false">
      <c r="A26" s="354" t="n">
        <v>37078</v>
      </c>
      <c r="B26" s="371" t="n">
        <v>10</v>
      </c>
      <c r="C26" s="371"/>
      <c r="D26" s="371" t="n">
        <f aca="false">+C26+B26</f>
        <v>10</v>
      </c>
      <c r="E26" s="371"/>
      <c r="F26" s="371" t="n">
        <v>1.5</v>
      </c>
      <c r="G26" s="371"/>
      <c r="H26" s="371"/>
      <c r="I26" s="371"/>
      <c r="J26" s="371"/>
      <c r="K26" s="376" t="n">
        <f aca="false">SUM(E26:J26)</f>
        <v>1.5</v>
      </c>
      <c r="L26" s="371"/>
      <c r="M26" s="371" t="n">
        <v>9</v>
      </c>
      <c r="N26" s="371" t="n">
        <v>3</v>
      </c>
      <c r="O26" s="371" t="n">
        <v>0</v>
      </c>
      <c r="P26" s="371"/>
      <c r="Q26" s="371"/>
      <c r="R26" s="371"/>
      <c r="S26" s="376" t="n">
        <f aca="false">SUM(M26:R26)</f>
        <v>12</v>
      </c>
      <c r="T26" s="371"/>
      <c r="U26" s="371"/>
      <c r="V26" s="371"/>
      <c r="W26" s="371"/>
      <c r="X26" s="371"/>
      <c r="Y26" s="371"/>
      <c r="Z26" s="371"/>
      <c r="AA26" s="371"/>
      <c r="AB26" s="371"/>
      <c r="AC26" s="371"/>
      <c r="AD26" s="376"/>
      <c r="AE26" s="371"/>
      <c r="AF26" s="371" t="n">
        <v>12.5</v>
      </c>
      <c r="AG26" s="371"/>
      <c r="AH26" s="371" t="n">
        <v>9</v>
      </c>
      <c r="AI26" s="371"/>
      <c r="AJ26" s="371"/>
      <c r="AK26" s="371"/>
      <c r="AL26" s="371"/>
      <c r="AM26" s="371"/>
      <c r="AN26" s="371"/>
      <c r="AO26" s="371"/>
      <c r="AP26" s="371"/>
      <c r="AQ26" s="371"/>
      <c r="AR26" s="371"/>
      <c r="AS26" s="371" t="n">
        <v>11</v>
      </c>
      <c r="AT26" s="371" t="n">
        <v>9</v>
      </c>
      <c r="AU26" s="376" t="n">
        <f aca="false">SUM(AE26:AT26)</f>
        <v>41.5</v>
      </c>
      <c r="AV26" s="371"/>
      <c r="AW26" s="371"/>
      <c r="AX26" s="376"/>
      <c r="AY26" s="371" t="n">
        <v>3</v>
      </c>
      <c r="AZ26" s="371" t="n">
        <v>1</v>
      </c>
      <c r="BA26" s="371" t="s">
        <v>662</v>
      </c>
      <c r="BB26" s="371" t="n">
        <v>12.5</v>
      </c>
      <c r="BC26" s="371" t="n">
        <v>1.5</v>
      </c>
      <c r="BD26" s="376" t="n">
        <f aca="false">SUM(AY26:BC26)</f>
        <v>18</v>
      </c>
      <c r="BE26" s="371"/>
      <c r="BF26" s="371"/>
      <c r="BG26" s="371"/>
      <c r="BH26" s="371"/>
      <c r="BI26" s="371"/>
      <c r="BJ26" s="371"/>
      <c r="BK26" s="371"/>
      <c r="BL26" s="371"/>
      <c r="BM26" s="371"/>
      <c r="BN26" s="371"/>
      <c r="BO26" s="371"/>
      <c r="BP26" s="371"/>
      <c r="BQ26" s="371"/>
      <c r="BR26" s="371" t="n">
        <f aca="false">+D26+K26+S26+AD26+AU26+AX26+BD26+BH26+BL26+BP26+BQ26+BI26</f>
        <v>83</v>
      </c>
      <c r="BS26" s="357" t="n">
        <f aca="false">+((K26+S26+AD26+AU26+AX26+BD26)*0.5)+D26+BP26+BQ26</f>
        <v>46.5</v>
      </c>
    </row>
    <row r="27" customFormat="false" ht="13.2" hidden="false" customHeight="false" outlineLevel="0" collapsed="false">
      <c r="A27" s="354" t="n">
        <v>37079</v>
      </c>
      <c r="B27" s="371" t="n">
        <v>11</v>
      </c>
      <c r="C27" s="371"/>
      <c r="D27" s="371" t="n">
        <f aca="false">+C27+B27</f>
        <v>11</v>
      </c>
      <c r="E27" s="371"/>
      <c r="F27" s="371"/>
      <c r="G27" s="371"/>
      <c r="H27" s="371"/>
      <c r="I27" s="371"/>
      <c r="J27" s="371"/>
      <c r="K27" s="376"/>
      <c r="L27" s="371"/>
      <c r="M27" s="371"/>
      <c r="N27" s="371"/>
      <c r="O27" s="371"/>
      <c r="P27" s="371"/>
      <c r="Q27" s="371"/>
      <c r="R27" s="371"/>
      <c r="S27" s="376"/>
      <c r="T27" s="371"/>
      <c r="U27" s="371"/>
      <c r="V27" s="371"/>
      <c r="W27" s="371"/>
      <c r="X27" s="371"/>
      <c r="Y27" s="371"/>
      <c r="Z27" s="371"/>
      <c r="AA27" s="371"/>
      <c r="AB27" s="371"/>
      <c r="AC27" s="371"/>
      <c r="AD27" s="376"/>
      <c r="AE27" s="371"/>
      <c r="AF27" s="371" t="n">
        <v>12.5</v>
      </c>
      <c r="AG27" s="371"/>
      <c r="AH27" s="371" t="n">
        <v>10</v>
      </c>
      <c r="AI27" s="371"/>
      <c r="AJ27" s="371"/>
      <c r="AK27" s="371"/>
      <c r="AL27" s="371"/>
      <c r="AM27" s="371"/>
      <c r="AN27" s="371"/>
      <c r="AO27" s="371"/>
      <c r="AP27" s="371"/>
      <c r="AQ27" s="371"/>
      <c r="AR27" s="371" t="n">
        <v>10</v>
      </c>
      <c r="AS27" s="371" t="n">
        <v>10</v>
      </c>
      <c r="AT27" s="371" t="n">
        <v>10</v>
      </c>
      <c r="AU27" s="376" t="n">
        <f aca="false">SUM(AE27:AT27)</f>
        <v>52.5</v>
      </c>
      <c r="AV27" s="371" t="n">
        <v>10</v>
      </c>
      <c r="AW27" s="371"/>
      <c r="AX27" s="376" t="n">
        <f aca="false">+AW27+AV27</f>
        <v>10</v>
      </c>
      <c r="AY27" s="371" t="n">
        <v>2</v>
      </c>
      <c r="AZ27" s="371" t="n">
        <v>1</v>
      </c>
      <c r="BA27" s="371"/>
      <c r="BB27" s="371" t="n">
        <v>12.5</v>
      </c>
      <c r="BC27" s="371" t="n">
        <v>0</v>
      </c>
      <c r="BD27" s="376" t="n">
        <f aca="false">SUM(AY27:BC27)</f>
        <v>15.5</v>
      </c>
      <c r="BE27" s="371"/>
      <c r="BF27" s="371"/>
      <c r="BG27" s="371"/>
      <c r="BH27" s="371"/>
      <c r="BI27" s="371"/>
      <c r="BJ27" s="371"/>
      <c r="BK27" s="371"/>
      <c r="BL27" s="371"/>
      <c r="BM27" s="371"/>
      <c r="BN27" s="371"/>
      <c r="BO27" s="371"/>
      <c r="BP27" s="371"/>
      <c r="BQ27" s="371"/>
      <c r="BR27" s="371" t="n">
        <f aca="false">+D27+K27+S27+AD27+AU27+AX27+BD27+BH27+BL27+BP27+BQ27+BI27</f>
        <v>89</v>
      </c>
      <c r="BS27" s="357" t="n">
        <f aca="false">+((K27+S27+AD27+AU27+AX27+BD27)*0.5)+D27+BP27+BQ27</f>
        <v>50</v>
      </c>
    </row>
    <row r="28" customFormat="false" ht="13.2" hidden="false" customHeight="false" outlineLevel="0" collapsed="false">
      <c r="A28" s="354" t="n">
        <v>37080</v>
      </c>
      <c r="B28" s="371" t="n">
        <v>11</v>
      </c>
      <c r="C28" s="371"/>
      <c r="D28" s="371" t="n">
        <f aca="false">+C28+B28</f>
        <v>11</v>
      </c>
      <c r="E28" s="371"/>
      <c r="F28" s="371"/>
      <c r="G28" s="371"/>
      <c r="H28" s="371"/>
      <c r="I28" s="371"/>
      <c r="J28" s="371"/>
      <c r="K28" s="376"/>
      <c r="L28" s="371"/>
      <c r="M28" s="371"/>
      <c r="N28" s="371"/>
      <c r="O28" s="371"/>
      <c r="P28" s="371"/>
      <c r="Q28" s="371"/>
      <c r="R28" s="371"/>
      <c r="S28" s="376"/>
      <c r="T28" s="371"/>
      <c r="U28" s="371"/>
      <c r="V28" s="371"/>
      <c r="W28" s="371"/>
      <c r="X28" s="371"/>
      <c r="Y28" s="371"/>
      <c r="Z28" s="371"/>
      <c r="AA28" s="371"/>
      <c r="AB28" s="371"/>
      <c r="AC28" s="371"/>
      <c r="AD28" s="376"/>
      <c r="AE28" s="371"/>
      <c r="AF28" s="371" t="n">
        <v>12.5</v>
      </c>
      <c r="AG28" s="371"/>
      <c r="AH28" s="371" t="n">
        <v>10</v>
      </c>
      <c r="AI28" s="371"/>
      <c r="AJ28" s="371"/>
      <c r="AK28" s="371"/>
      <c r="AL28" s="371"/>
      <c r="AM28" s="371"/>
      <c r="AN28" s="371"/>
      <c r="AO28" s="371"/>
      <c r="AP28" s="371"/>
      <c r="AQ28" s="371" t="n">
        <v>10</v>
      </c>
      <c r="AR28" s="371" t="n">
        <v>9.5</v>
      </c>
      <c r="AS28" s="371" t="n">
        <v>10</v>
      </c>
      <c r="AT28" s="371" t="n">
        <v>7.5</v>
      </c>
      <c r="AU28" s="376" t="n">
        <f aca="false">SUM(AE28:AT28)</f>
        <v>59.5</v>
      </c>
      <c r="AV28" s="371"/>
      <c r="AW28" s="371"/>
      <c r="AX28" s="376"/>
      <c r="AY28" s="371"/>
      <c r="AZ28" s="371" t="n">
        <v>2</v>
      </c>
      <c r="BA28" s="371"/>
      <c r="BB28" s="371" t="n">
        <v>12.5</v>
      </c>
      <c r="BC28" s="371" t="n">
        <v>0</v>
      </c>
      <c r="BD28" s="376" t="n">
        <f aca="false">SUM(AY28:BC28)</f>
        <v>14.5</v>
      </c>
      <c r="BE28" s="371"/>
      <c r="BF28" s="371"/>
      <c r="BG28" s="371"/>
      <c r="BH28" s="371"/>
      <c r="BI28" s="371"/>
      <c r="BJ28" s="371"/>
      <c r="BK28" s="371"/>
      <c r="BL28" s="371"/>
      <c r="BM28" s="371"/>
      <c r="BN28" s="371"/>
      <c r="BO28" s="371"/>
      <c r="BP28" s="371"/>
      <c r="BQ28" s="371"/>
      <c r="BR28" s="371" t="n">
        <f aca="false">+D28+K28+S28+AD28+AU28+AX28+BD28+BH28+BL28+BP28+BQ28+BI28</f>
        <v>85</v>
      </c>
      <c r="BS28" s="357" t="n">
        <f aca="false">+((K28+S28+AD28+AU28+AX28+BD28)*0.5)+D28+BP28+BQ28</f>
        <v>48</v>
      </c>
    </row>
    <row r="29" customFormat="false" ht="13.2" hidden="false" customHeight="false" outlineLevel="0" collapsed="false">
      <c r="A29" s="354" t="n">
        <v>37081</v>
      </c>
      <c r="B29" s="371" t="n">
        <v>6</v>
      </c>
      <c r="C29" s="371"/>
      <c r="D29" s="371" t="n">
        <f aca="false">+C29+B29</f>
        <v>6</v>
      </c>
      <c r="E29" s="371"/>
      <c r="F29" s="371"/>
      <c r="G29" s="371"/>
      <c r="H29" s="371"/>
      <c r="I29" s="371"/>
      <c r="J29" s="371"/>
      <c r="K29" s="376"/>
      <c r="L29" s="371"/>
      <c r="M29" s="371"/>
      <c r="N29" s="371"/>
      <c r="O29" s="371" t="n">
        <v>6.5</v>
      </c>
      <c r="P29" s="371"/>
      <c r="Q29" s="371"/>
      <c r="R29" s="371"/>
      <c r="S29" s="376" t="n">
        <f aca="false">SUM(M29:R29)</f>
        <v>6.5</v>
      </c>
      <c r="T29" s="371"/>
      <c r="U29" s="371"/>
      <c r="V29" s="371"/>
      <c r="W29" s="371"/>
      <c r="X29" s="371"/>
      <c r="Y29" s="371"/>
      <c r="Z29" s="371"/>
      <c r="AA29" s="371"/>
      <c r="AB29" s="371"/>
      <c r="AC29" s="371"/>
      <c r="AD29" s="376"/>
      <c r="AE29" s="371"/>
      <c r="AF29" s="371" t="n">
        <v>12.5</v>
      </c>
      <c r="AG29" s="371"/>
      <c r="AH29" s="371"/>
      <c r="AI29" s="371"/>
      <c r="AJ29" s="371"/>
      <c r="AK29" s="371" t="n">
        <v>5.5</v>
      </c>
      <c r="AL29" s="371" t="n">
        <v>5.5</v>
      </c>
      <c r="AM29" s="371"/>
      <c r="AN29" s="371" t="n">
        <v>6.5</v>
      </c>
      <c r="AO29" s="371"/>
      <c r="AP29" s="371"/>
      <c r="AQ29" s="371"/>
      <c r="AR29" s="371"/>
      <c r="AS29" s="371" t="n">
        <v>8</v>
      </c>
      <c r="AT29" s="371"/>
      <c r="AU29" s="376" t="n">
        <f aca="false">SUM(AE29:AT29)</f>
        <v>38</v>
      </c>
      <c r="AV29" s="371" t="n">
        <v>6.5</v>
      </c>
      <c r="AW29" s="371"/>
      <c r="AX29" s="376" t="n">
        <f aca="false">+AW29+AV29</f>
        <v>6.5</v>
      </c>
      <c r="AY29" s="371"/>
      <c r="AZ29" s="371" t="n">
        <v>5.5</v>
      </c>
      <c r="BA29" s="371"/>
      <c r="BB29" s="371" t="n">
        <v>12.5</v>
      </c>
      <c r="BC29" s="371" t="n">
        <v>0</v>
      </c>
      <c r="BD29" s="376" t="n">
        <f aca="false">SUM(AY29:BC29)</f>
        <v>18</v>
      </c>
      <c r="BE29" s="371"/>
      <c r="BF29" s="371"/>
      <c r="BG29" s="371"/>
      <c r="BH29" s="371"/>
      <c r="BI29" s="371"/>
      <c r="BJ29" s="371"/>
      <c r="BK29" s="371"/>
      <c r="BL29" s="371"/>
      <c r="BM29" s="371"/>
      <c r="BN29" s="371"/>
      <c r="BO29" s="371"/>
      <c r="BP29" s="371"/>
      <c r="BQ29" s="371"/>
      <c r="BR29" s="371" t="n">
        <f aca="false">+D29+K29+S29+AD29+AU29+AX29+BD29+BH29+BL29+BP29+BQ29+BI29</f>
        <v>75</v>
      </c>
      <c r="BS29" s="357" t="n">
        <f aca="false">+((K29+S29+AD29+AU29+AX29+BD29)*0.5)+D29+BP29+BQ29</f>
        <v>40.5</v>
      </c>
    </row>
    <row r="30" customFormat="false" ht="13.2" hidden="false" customHeight="false" outlineLevel="0" collapsed="false">
      <c r="A30" s="354" t="n">
        <v>37082</v>
      </c>
      <c r="B30" s="371" t="n">
        <v>10</v>
      </c>
      <c r="C30" s="371"/>
      <c r="D30" s="371" t="n">
        <f aca="false">+C30+B30</f>
        <v>10</v>
      </c>
      <c r="E30" s="371" t="n">
        <v>6</v>
      </c>
      <c r="F30" s="371" t="n">
        <v>6</v>
      </c>
      <c r="G30" s="371"/>
      <c r="H30" s="371"/>
      <c r="I30" s="371"/>
      <c r="J30" s="371"/>
      <c r="K30" s="376" t="n">
        <f aca="false">SUM(E30:J30)</f>
        <v>12</v>
      </c>
      <c r="L30" s="371" t="n">
        <v>6</v>
      </c>
      <c r="M30" s="371"/>
      <c r="N30" s="371"/>
      <c r="O30" s="371"/>
      <c r="P30" s="371"/>
      <c r="Q30" s="371"/>
      <c r="R30" s="371"/>
      <c r="S30" s="376"/>
      <c r="T30" s="371"/>
      <c r="U30" s="371"/>
      <c r="V30" s="371"/>
      <c r="W30" s="371"/>
      <c r="X30" s="371"/>
      <c r="Y30" s="371"/>
      <c r="Z30" s="371"/>
      <c r="AA30" s="371"/>
      <c r="AB30" s="371"/>
      <c r="AC30" s="371"/>
      <c r="AD30" s="376"/>
      <c r="AE30" s="371"/>
      <c r="AF30" s="371" t="n">
        <v>12.5</v>
      </c>
      <c r="AG30" s="371"/>
      <c r="AH30" s="371" t="n">
        <v>10</v>
      </c>
      <c r="AI30" s="371"/>
      <c r="AJ30" s="371"/>
      <c r="AK30" s="371" t="n">
        <v>0</v>
      </c>
      <c r="AL30" s="371"/>
      <c r="AM30" s="371"/>
      <c r="AN30" s="371" t="n">
        <v>0</v>
      </c>
      <c r="AO30" s="371"/>
      <c r="AP30" s="371"/>
      <c r="AQ30" s="371" t="n">
        <v>10</v>
      </c>
      <c r="AR30" s="371" t="n">
        <v>10</v>
      </c>
      <c r="AS30" s="371" t="n">
        <v>10</v>
      </c>
      <c r="AT30" s="371"/>
      <c r="AU30" s="376" t="n">
        <f aca="false">SUM(AE30:AT30)</f>
        <v>52.5</v>
      </c>
      <c r="AV30" s="371"/>
      <c r="AW30" s="371"/>
      <c r="AX30" s="376"/>
      <c r="AY30" s="371" t="n">
        <v>6</v>
      </c>
      <c r="AZ30" s="371" t="n">
        <v>2</v>
      </c>
      <c r="BA30" s="371"/>
      <c r="BB30" s="371" t="n">
        <v>10</v>
      </c>
      <c r="BC30" s="371" t="n">
        <v>12.5</v>
      </c>
      <c r="BD30" s="376" t="n">
        <f aca="false">SUM(AY30:BC30)</f>
        <v>30.5</v>
      </c>
      <c r="BE30" s="378" t="n">
        <v>4</v>
      </c>
      <c r="BF30" s="378" t="n">
        <v>4</v>
      </c>
      <c r="BG30" s="378" t="n">
        <v>4</v>
      </c>
      <c r="BH30" s="378" t="n">
        <f aca="false">+BE30+BF30+BG30</f>
        <v>12</v>
      </c>
      <c r="BI30" s="378" t="n">
        <v>4</v>
      </c>
      <c r="BJ30" s="378" t="n">
        <v>4</v>
      </c>
      <c r="BK30" s="371"/>
      <c r="BL30" s="378" t="n">
        <f aca="false">+BJ30+BK30</f>
        <v>4</v>
      </c>
      <c r="BM30" s="371"/>
      <c r="BN30" s="371"/>
      <c r="BO30" s="371"/>
      <c r="BP30" s="371"/>
      <c r="BQ30" s="371"/>
      <c r="BR30" s="371" t="n">
        <f aca="false">+D30+K30+S30+AD30+AU30+AX30+BD30+BH30+BL30+BP30+BQ30+BI30</f>
        <v>125</v>
      </c>
      <c r="BS30" s="357" t="n">
        <f aca="false">+((K30+S30+AD30+AU30+AX30+BD30)*0.5)+D30+BP30+BQ30</f>
        <v>57.5</v>
      </c>
    </row>
    <row r="31" customFormat="false" ht="13.2" hidden="false" customHeight="false" outlineLevel="0" collapsed="false">
      <c r="A31" s="354" t="n">
        <v>37083</v>
      </c>
      <c r="B31" s="371" t="n">
        <v>11</v>
      </c>
      <c r="C31" s="371"/>
      <c r="D31" s="371" t="n">
        <f aca="false">+C31+B31</f>
        <v>11</v>
      </c>
      <c r="E31" s="371"/>
      <c r="F31" s="371"/>
      <c r="G31" s="371"/>
      <c r="H31" s="371"/>
      <c r="I31" s="371"/>
      <c r="J31" s="371"/>
      <c r="K31" s="376"/>
      <c r="L31" s="371"/>
      <c r="M31" s="371"/>
      <c r="N31" s="371"/>
      <c r="O31" s="371"/>
      <c r="P31" s="371"/>
      <c r="Q31" s="371"/>
      <c r="R31" s="371"/>
      <c r="S31" s="376"/>
      <c r="T31" s="371"/>
      <c r="U31" s="371"/>
      <c r="V31" s="371"/>
      <c r="W31" s="371"/>
      <c r="X31" s="371"/>
      <c r="Y31" s="371"/>
      <c r="Z31" s="371"/>
      <c r="AA31" s="371"/>
      <c r="AB31" s="371"/>
      <c r="AC31" s="371" t="n">
        <v>10</v>
      </c>
      <c r="AD31" s="376" t="n">
        <f aca="false">SUM(T31:AC31)</f>
        <v>10</v>
      </c>
      <c r="AE31" s="371"/>
      <c r="AF31" s="371"/>
      <c r="AG31" s="371"/>
      <c r="AH31" s="371" t="n">
        <v>10</v>
      </c>
      <c r="AI31" s="371" t="n">
        <v>4</v>
      </c>
      <c r="AJ31" s="371"/>
      <c r="AK31" s="371"/>
      <c r="AL31" s="371"/>
      <c r="AM31" s="371" t="n">
        <v>5</v>
      </c>
      <c r="AN31" s="371" t="n">
        <v>5</v>
      </c>
      <c r="AO31" s="371"/>
      <c r="AP31" s="371"/>
      <c r="AQ31" s="371" t="n">
        <v>10</v>
      </c>
      <c r="AR31" s="371" t="n">
        <v>10</v>
      </c>
      <c r="AS31" s="371" t="n">
        <v>10</v>
      </c>
      <c r="AT31" s="371"/>
      <c r="AU31" s="376" t="n">
        <f aca="false">SUM(AE31:AT31)</f>
        <v>54</v>
      </c>
      <c r="AV31" s="371"/>
      <c r="AW31" s="371"/>
      <c r="AX31" s="376"/>
      <c r="AY31" s="371" t="n">
        <v>4</v>
      </c>
      <c r="AZ31" s="371" t="n">
        <v>2</v>
      </c>
      <c r="BA31" s="371"/>
      <c r="BB31" s="371" t="n">
        <v>10</v>
      </c>
      <c r="BC31" s="371" t="n">
        <v>12.5</v>
      </c>
      <c r="BD31" s="376" t="n">
        <f aca="false">SUM(AY31:BC31)</f>
        <v>28.5</v>
      </c>
      <c r="BE31" s="378" t="n">
        <v>4</v>
      </c>
      <c r="BF31" s="378" t="n">
        <v>4</v>
      </c>
      <c r="BG31" s="378" t="n">
        <v>4</v>
      </c>
      <c r="BH31" s="378" t="n">
        <f aca="false">+BE31+BF31+BG31</f>
        <v>12</v>
      </c>
      <c r="BI31" s="378" t="n">
        <v>4</v>
      </c>
      <c r="BJ31" s="378" t="n">
        <v>4</v>
      </c>
      <c r="BK31" s="371"/>
      <c r="BL31" s="378" t="n">
        <f aca="false">+BJ31+BK31</f>
        <v>4</v>
      </c>
      <c r="BM31" s="371"/>
      <c r="BN31" s="371"/>
      <c r="BO31" s="371"/>
      <c r="BP31" s="371"/>
      <c r="BQ31" s="371"/>
      <c r="BR31" s="371" t="n">
        <f aca="false">+D31+K31+S31+AD31+AU31+AX31+BD31+BH31+BL31+BP31+BQ31+BI31</f>
        <v>123.5</v>
      </c>
      <c r="BS31" s="357" t="n">
        <f aca="false">+((K31+S31+AD31+AU31+AX31+BD31)*0.5)+D31+BP31+BQ31</f>
        <v>57.25</v>
      </c>
    </row>
    <row r="32" customFormat="false" ht="13.2" hidden="false" customHeight="false" outlineLevel="0" collapsed="false">
      <c r="A32" s="354" t="n">
        <v>37084</v>
      </c>
      <c r="B32" s="371" t="n">
        <v>13</v>
      </c>
      <c r="C32" s="371"/>
      <c r="D32" s="371" t="n">
        <f aca="false">+C32+B32</f>
        <v>13</v>
      </c>
      <c r="E32" s="371"/>
      <c r="F32" s="371"/>
      <c r="G32" s="371"/>
      <c r="H32" s="371"/>
      <c r="I32" s="371"/>
      <c r="J32" s="371"/>
      <c r="K32" s="376"/>
      <c r="L32" s="371"/>
      <c r="M32" s="371"/>
      <c r="N32" s="371" t="n">
        <v>5</v>
      </c>
      <c r="O32" s="371" t="n">
        <v>5</v>
      </c>
      <c r="P32" s="371"/>
      <c r="Q32" s="371"/>
      <c r="R32" s="371"/>
      <c r="S32" s="376" t="n">
        <f aca="false">SUM(M32:R32)</f>
        <v>10</v>
      </c>
      <c r="T32" s="371"/>
      <c r="U32" s="371"/>
      <c r="V32" s="371"/>
      <c r="W32" s="371"/>
      <c r="X32" s="371"/>
      <c r="Y32" s="371"/>
      <c r="Z32" s="371"/>
      <c r="AA32" s="371"/>
      <c r="AB32" s="371" t="n">
        <v>10</v>
      </c>
      <c r="AC32" s="371" t="n">
        <v>10</v>
      </c>
      <c r="AD32" s="376" t="n">
        <f aca="false">SUM(T32:AC32)</f>
        <v>20</v>
      </c>
      <c r="AE32" s="371"/>
      <c r="AF32" s="371" t="n">
        <v>5</v>
      </c>
      <c r="AG32" s="371"/>
      <c r="AH32" s="371"/>
      <c r="AI32" s="371"/>
      <c r="AJ32" s="371"/>
      <c r="AK32" s="371"/>
      <c r="AL32" s="371"/>
      <c r="AM32" s="371"/>
      <c r="AN32" s="371"/>
      <c r="AO32" s="371"/>
      <c r="AP32" s="371"/>
      <c r="AQ32" s="371" t="n">
        <v>10</v>
      </c>
      <c r="AR32" s="371" t="n">
        <v>10</v>
      </c>
      <c r="AS32" s="371" t="n">
        <v>10.5</v>
      </c>
      <c r="AT32" s="371"/>
      <c r="AU32" s="376" t="n">
        <f aca="false">SUM(AE32:AT32)</f>
        <v>35.5</v>
      </c>
      <c r="AV32" s="371"/>
      <c r="AW32" s="371"/>
      <c r="AX32" s="376"/>
      <c r="AY32" s="371" t="n">
        <v>3</v>
      </c>
      <c r="AZ32" s="371" t="n">
        <v>4</v>
      </c>
      <c r="BA32" s="371"/>
      <c r="BB32" s="371" t="n">
        <v>12.5</v>
      </c>
      <c r="BC32" s="371" t="n">
        <v>5</v>
      </c>
      <c r="BD32" s="376" t="n">
        <f aca="false">SUM(AY32:BC32)</f>
        <v>24.5</v>
      </c>
      <c r="BE32" s="378" t="n">
        <v>0</v>
      </c>
      <c r="BF32" s="378" t="n">
        <v>4</v>
      </c>
      <c r="BG32" s="378" t="n">
        <v>4</v>
      </c>
      <c r="BH32" s="378" t="n">
        <f aca="false">+BE32+BF32+BG32</f>
        <v>8</v>
      </c>
      <c r="BI32" s="378" t="n">
        <v>4</v>
      </c>
      <c r="BJ32" s="378" t="n">
        <v>4</v>
      </c>
      <c r="BK32" s="371"/>
      <c r="BL32" s="378" t="n">
        <f aca="false">+BJ32+BK32</f>
        <v>4</v>
      </c>
      <c r="BM32" s="371"/>
      <c r="BN32" s="371"/>
      <c r="BO32" s="371"/>
      <c r="BP32" s="371"/>
      <c r="BQ32" s="371"/>
      <c r="BR32" s="371" t="n">
        <f aca="false">+D32+K32+S32+AD32+AU32+AX32+BD32+BH32+BL32+BP32+BQ32+BI32</f>
        <v>119</v>
      </c>
      <c r="BS32" s="357" t="n">
        <f aca="false">+((K32+S32+AD32+AU32+AX32+BD32)*0.5)+D32+BP32+BQ32</f>
        <v>58</v>
      </c>
    </row>
    <row r="33" customFormat="false" ht="13.2" hidden="false" customHeight="false" outlineLevel="0" collapsed="false">
      <c r="A33" s="354" t="n">
        <v>37085</v>
      </c>
      <c r="B33" s="371" t="n">
        <v>10</v>
      </c>
      <c r="C33" s="371"/>
      <c r="D33" s="372" t="n">
        <f aca="false">+C33+B33</f>
        <v>10</v>
      </c>
      <c r="E33" s="372"/>
      <c r="F33" s="372"/>
      <c r="G33" s="372"/>
      <c r="H33" s="372"/>
      <c r="I33" s="372"/>
      <c r="J33" s="372"/>
      <c r="K33" s="373"/>
      <c r="L33" s="372"/>
      <c r="M33" s="372"/>
      <c r="N33" s="372"/>
      <c r="O33" s="372"/>
      <c r="P33" s="372"/>
      <c r="Q33" s="372"/>
      <c r="R33" s="372"/>
      <c r="S33" s="373"/>
      <c r="T33" s="372"/>
      <c r="U33" s="372"/>
      <c r="V33" s="372"/>
      <c r="W33" s="372"/>
      <c r="X33" s="372"/>
      <c r="Y33" s="372"/>
      <c r="Z33" s="372"/>
      <c r="AA33" s="372" t="n">
        <v>9</v>
      </c>
      <c r="AB33" s="372" t="n">
        <v>9</v>
      </c>
      <c r="AC33" s="372" t="n">
        <v>10.5</v>
      </c>
      <c r="AD33" s="373" t="n">
        <f aca="false">SUM(T33:AC33)</f>
        <v>28.5</v>
      </c>
      <c r="AE33" s="372"/>
      <c r="AF33" s="372" t="n">
        <v>12.5</v>
      </c>
      <c r="AG33" s="372"/>
      <c r="AH33" s="372"/>
      <c r="AI33" s="372" t="n">
        <v>9</v>
      </c>
      <c r="AJ33" s="372"/>
      <c r="AK33" s="372"/>
      <c r="AL33" s="372"/>
      <c r="AM33" s="372" t="n">
        <v>9</v>
      </c>
      <c r="AN33" s="372"/>
      <c r="AO33" s="372"/>
      <c r="AP33" s="372"/>
      <c r="AQ33" s="372" t="n">
        <v>9.5</v>
      </c>
      <c r="AR33" s="372" t="n">
        <v>9.5</v>
      </c>
      <c r="AS33" s="372" t="n">
        <v>10</v>
      </c>
      <c r="AT33" s="372"/>
      <c r="AU33" s="373" t="n">
        <f aca="false">SUM(AE33:AT33)</f>
        <v>59.5</v>
      </c>
      <c r="AV33" s="372"/>
      <c r="AW33" s="372"/>
      <c r="AX33" s="373"/>
      <c r="AY33" s="372" t="n">
        <v>4</v>
      </c>
      <c r="AZ33" s="372" t="n">
        <v>2</v>
      </c>
      <c r="BA33" s="372"/>
      <c r="BB33" s="372" t="n">
        <v>12.5</v>
      </c>
      <c r="BC33" s="372" t="n">
        <v>9</v>
      </c>
      <c r="BD33" s="373" t="n">
        <f aca="false">SUM(AY33:BC33)</f>
        <v>27.5</v>
      </c>
      <c r="BE33" s="379" t="n">
        <v>4</v>
      </c>
      <c r="BF33" s="379" t="n">
        <v>4</v>
      </c>
      <c r="BG33" s="379" t="n">
        <v>4</v>
      </c>
      <c r="BH33" s="379" t="n">
        <f aca="false">+BE33+BF33+BG33</f>
        <v>12</v>
      </c>
      <c r="BI33" s="379"/>
      <c r="BJ33" s="379" t="n">
        <v>4</v>
      </c>
      <c r="BK33" s="372"/>
      <c r="BL33" s="379" t="n">
        <f aca="false">+BJ33+BK33</f>
        <v>4</v>
      </c>
      <c r="BM33" s="372"/>
      <c r="BN33" s="372"/>
      <c r="BO33" s="372"/>
      <c r="BP33" s="372"/>
      <c r="BQ33" s="372"/>
      <c r="BR33" s="371" t="n">
        <f aca="false">+D33+K33+S33+AD33+AU33+AX33+BD33+BH33+BL33+BP33+BQ33+BI33</f>
        <v>141.5</v>
      </c>
      <c r="BS33" s="374" t="n">
        <f aca="false">+((K33+S33+AD33+AU33+AX33+BD33)*0.5)+D33+BP33+BQ33</f>
        <v>67.75</v>
      </c>
    </row>
    <row r="34" customFormat="false" ht="13.2" hidden="false" customHeight="false" outlineLevel="0" collapsed="false">
      <c r="A34" s="354" t="n">
        <v>37086</v>
      </c>
      <c r="B34" s="371" t="n">
        <v>11.5</v>
      </c>
      <c r="C34" s="371"/>
      <c r="D34" s="372" t="n">
        <f aca="false">+C34+B34</f>
        <v>11.5</v>
      </c>
      <c r="E34" s="372"/>
      <c r="F34" s="372"/>
      <c r="G34" s="372"/>
      <c r="H34" s="372"/>
      <c r="I34" s="372"/>
      <c r="J34" s="372"/>
      <c r="K34" s="373"/>
      <c r="L34" s="372"/>
      <c r="M34" s="372"/>
      <c r="N34" s="372"/>
      <c r="O34" s="372"/>
      <c r="P34" s="372"/>
      <c r="Q34" s="372"/>
      <c r="R34" s="372"/>
      <c r="S34" s="373"/>
      <c r="T34" s="372"/>
      <c r="U34" s="372"/>
      <c r="V34" s="372"/>
      <c r="W34" s="372"/>
      <c r="X34" s="372"/>
      <c r="Y34" s="372"/>
      <c r="Z34" s="372"/>
      <c r="AA34" s="372"/>
      <c r="AB34" s="372" t="n">
        <v>10</v>
      </c>
      <c r="AC34" s="372" t="n">
        <v>10</v>
      </c>
      <c r="AD34" s="373" t="n">
        <f aca="false">SUM(T34:AC34)</f>
        <v>20</v>
      </c>
      <c r="AE34" s="372"/>
      <c r="AF34" s="372" t="n">
        <v>12.5</v>
      </c>
      <c r="AG34" s="372"/>
      <c r="AH34" s="372" t="n">
        <v>11</v>
      </c>
      <c r="AI34" s="372" t="n">
        <v>10</v>
      </c>
      <c r="AJ34" s="372"/>
      <c r="AK34" s="372"/>
      <c r="AL34" s="372"/>
      <c r="AM34" s="372"/>
      <c r="AN34" s="372"/>
      <c r="AO34" s="372"/>
      <c r="AP34" s="372"/>
      <c r="AQ34" s="372" t="n">
        <v>10.5</v>
      </c>
      <c r="AR34" s="372" t="n">
        <v>10.5</v>
      </c>
      <c r="AS34" s="372" t="n">
        <v>11</v>
      </c>
      <c r="AT34" s="372"/>
      <c r="AU34" s="373" t="n">
        <f aca="false">SUM(AE34:AT34)</f>
        <v>65.5</v>
      </c>
      <c r="AV34" s="372" t="n">
        <v>10</v>
      </c>
      <c r="AW34" s="372"/>
      <c r="AX34" s="373" t="n">
        <f aca="false">+AW34+AV34</f>
        <v>10</v>
      </c>
      <c r="AY34" s="372"/>
      <c r="AZ34" s="372"/>
      <c r="BA34" s="372"/>
      <c r="BB34" s="372" t="n">
        <v>10</v>
      </c>
      <c r="BC34" s="372" t="n">
        <v>12.5</v>
      </c>
      <c r="BD34" s="373" t="n">
        <f aca="false">SUM(AY34:BC34)</f>
        <v>22.5</v>
      </c>
      <c r="BE34" s="379" t="n">
        <v>4</v>
      </c>
      <c r="BF34" s="379" t="n">
        <v>4</v>
      </c>
      <c r="BG34" s="379"/>
      <c r="BH34" s="379" t="n">
        <f aca="false">+BE34+BF34+BG34</f>
        <v>8</v>
      </c>
      <c r="BI34" s="379" t="n">
        <v>4</v>
      </c>
      <c r="BJ34" s="379" t="n">
        <v>4</v>
      </c>
      <c r="BK34" s="372"/>
      <c r="BL34" s="379" t="n">
        <f aca="false">+BJ34+BK34</f>
        <v>4</v>
      </c>
      <c r="BM34" s="372"/>
      <c r="BN34" s="372"/>
      <c r="BO34" s="372"/>
      <c r="BP34" s="372"/>
      <c r="BQ34" s="372"/>
      <c r="BR34" s="371" t="n">
        <f aca="false">+D34+K34+S34+AD34+AU34+AX34+BD34+BH34+BL34+BP34+BQ34+BI34</f>
        <v>145.5</v>
      </c>
      <c r="BS34" s="374" t="n">
        <f aca="false">+((K34+S34+AD34+AU34+AX34+BD34)*0.5)+D34+BP34+BQ34</f>
        <v>70.5</v>
      </c>
    </row>
    <row r="35" customFormat="false" ht="13.2" hidden="false" customHeight="false" outlineLevel="0" collapsed="false">
      <c r="A35" s="354" t="n">
        <v>37087</v>
      </c>
      <c r="B35" s="371" t="n">
        <v>11</v>
      </c>
      <c r="C35" s="371"/>
      <c r="D35" s="372" t="n">
        <f aca="false">+C35+B35</f>
        <v>11</v>
      </c>
      <c r="E35" s="372"/>
      <c r="F35" s="372"/>
      <c r="G35" s="372"/>
      <c r="H35" s="372"/>
      <c r="I35" s="372"/>
      <c r="J35" s="372"/>
      <c r="K35" s="373"/>
      <c r="L35" s="372"/>
      <c r="M35" s="372"/>
      <c r="N35" s="372" t="n">
        <v>5</v>
      </c>
      <c r="O35" s="372" t="n">
        <v>5</v>
      </c>
      <c r="P35" s="372"/>
      <c r="Q35" s="372"/>
      <c r="R35" s="372"/>
      <c r="S35" s="373" t="n">
        <f aca="false">SUM(M35:R35)</f>
        <v>10</v>
      </c>
      <c r="T35" s="372"/>
      <c r="U35" s="372"/>
      <c r="V35" s="372"/>
      <c r="W35" s="372"/>
      <c r="X35" s="372"/>
      <c r="Y35" s="372"/>
      <c r="Z35" s="372"/>
      <c r="AA35" s="372"/>
      <c r="AB35" s="372"/>
      <c r="AC35" s="372" t="n">
        <v>10</v>
      </c>
      <c r="AD35" s="373" t="n">
        <f aca="false">SUM(T35:AC35)</f>
        <v>10</v>
      </c>
      <c r="AE35" s="372"/>
      <c r="AF35" s="372" t="n">
        <v>12.5</v>
      </c>
      <c r="AG35" s="372"/>
      <c r="AH35" s="372" t="n">
        <v>5</v>
      </c>
      <c r="AI35" s="372" t="n">
        <v>5</v>
      </c>
      <c r="AJ35" s="372"/>
      <c r="AK35" s="372" t="n">
        <v>5</v>
      </c>
      <c r="AL35" s="372" t="n">
        <v>5</v>
      </c>
      <c r="AM35" s="372" t="n">
        <v>5</v>
      </c>
      <c r="AN35" s="372" t="n">
        <v>5</v>
      </c>
      <c r="AO35" s="372"/>
      <c r="AP35" s="372"/>
      <c r="AQ35" s="372" t="n">
        <v>9</v>
      </c>
      <c r="AR35" s="372" t="n">
        <v>10</v>
      </c>
      <c r="AS35" s="372" t="n">
        <v>10</v>
      </c>
      <c r="AT35" s="372"/>
      <c r="AU35" s="373" t="n">
        <f aca="false">SUM(AE35:AT35)</f>
        <v>71.5</v>
      </c>
      <c r="AV35" s="372" t="n">
        <v>10</v>
      </c>
      <c r="AW35" s="372" t="n">
        <v>7.5</v>
      </c>
      <c r="AX35" s="373" t="n">
        <f aca="false">+AW35+AV35</f>
        <v>17.5</v>
      </c>
      <c r="AY35" s="372"/>
      <c r="AZ35" s="372"/>
      <c r="BA35" s="372"/>
      <c r="BB35" s="372" t="n">
        <v>10</v>
      </c>
      <c r="BC35" s="372" t="n">
        <v>12.5</v>
      </c>
      <c r="BD35" s="373" t="n">
        <f aca="false">SUM(AY35:BC35)</f>
        <v>22.5</v>
      </c>
      <c r="BE35" s="379" t="n">
        <v>7</v>
      </c>
      <c r="BF35" s="379"/>
      <c r="BG35" s="379"/>
      <c r="BH35" s="379" t="n">
        <f aca="false">+BE35+BF35+BG35</f>
        <v>7</v>
      </c>
      <c r="BI35" s="379" t="n">
        <v>4</v>
      </c>
      <c r="BJ35" s="379"/>
      <c r="BK35" s="372"/>
      <c r="BL35" s="379"/>
      <c r="BM35" s="372"/>
      <c r="BN35" s="372"/>
      <c r="BO35" s="372"/>
      <c r="BP35" s="372"/>
      <c r="BQ35" s="372"/>
      <c r="BR35" s="371" t="n">
        <f aca="false">+D35+K35+S35+AD35+AU35+AX35+BD35+BH35+BL35+BP35+BQ35+BI35</f>
        <v>153.5</v>
      </c>
      <c r="BS35" s="374" t="n">
        <f aca="false">+((K35+S35+AD35+AU35+AX35+BD35)*0.5)+D35+BP35+BQ35</f>
        <v>76.75</v>
      </c>
    </row>
    <row r="36" customFormat="false" ht="13.2" hidden="false" customHeight="false" outlineLevel="0" collapsed="false">
      <c r="A36" s="354" t="n">
        <v>37088</v>
      </c>
      <c r="B36" s="371" t="n">
        <v>8</v>
      </c>
      <c r="C36" s="371"/>
      <c r="D36" s="372" t="n">
        <f aca="false">+C36+B36</f>
        <v>8</v>
      </c>
      <c r="E36" s="372"/>
      <c r="F36" s="372"/>
      <c r="G36" s="372"/>
      <c r="H36" s="372"/>
      <c r="I36" s="372"/>
      <c r="J36" s="372" t="n">
        <v>4</v>
      </c>
      <c r="K36" s="373" t="n">
        <f aca="false">SUM(E36:J36)</f>
        <v>4</v>
      </c>
      <c r="L36" s="372"/>
      <c r="M36" s="372"/>
      <c r="N36" s="372" t="n">
        <v>4</v>
      </c>
      <c r="O36" s="372" t="n">
        <v>4</v>
      </c>
      <c r="P36" s="372"/>
      <c r="Q36" s="372"/>
      <c r="R36" s="372"/>
      <c r="S36" s="373" t="n">
        <f aca="false">SUM(M36:R36)</f>
        <v>8</v>
      </c>
      <c r="T36" s="372"/>
      <c r="U36" s="372"/>
      <c r="V36" s="372"/>
      <c r="W36" s="372"/>
      <c r="X36" s="372"/>
      <c r="Y36" s="372"/>
      <c r="Z36" s="372"/>
      <c r="AA36" s="372"/>
      <c r="AB36" s="372"/>
      <c r="AC36" s="372" t="n">
        <v>9.5</v>
      </c>
      <c r="AD36" s="373" t="n">
        <f aca="false">SUM(T36:AC36)</f>
        <v>9.5</v>
      </c>
      <c r="AE36" s="372"/>
      <c r="AF36" s="372" t="n">
        <v>12.5</v>
      </c>
      <c r="AG36" s="372"/>
      <c r="AH36" s="372" t="n">
        <v>5</v>
      </c>
      <c r="AI36" s="372"/>
      <c r="AJ36" s="372"/>
      <c r="AK36" s="372" t="n">
        <v>4</v>
      </c>
      <c r="AL36" s="372" t="n">
        <v>4</v>
      </c>
      <c r="AM36" s="372"/>
      <c r="AN36" s="372" t="n">
        <v>4</v>
      </c>
      <c r="AO36" s="372"/>
      <c r="AP36" s="372"/>
      <c r="AQ36" s="372"/>
      <c r="AR36" s="372" t="n">
        <v>5</v>
      </c>
      <c r="AS36" s="372"/>
      <c r="AT36" s="372"/>
      <c r="AU36" s="373" t="n">
        <f aca="false">SUM(AE36:AT36)</f>
        <v>34.5</v>
      </c>
      <c r="AV36" s="372" t="n">
        <v>8</v>
      </c>
      <c r="AW36" s="372"/>
      <c r="AX36" s="373" t="n">
        <f aca="false">+AW36+AV36</f>
        <v>8</v>
      </c>
      <c r="AY36" s="372"/>
      <c r="AZ36" s="372"/>
      <c r="BA36" s="372"/>
      <c r="BB36" s="372" t="n">
        <v>12.5</v>
      </c>
      <c r="BC36" s="372" t="n">
        <v>8</v>
      </c>
      <c r="BD36" s="373" t="n">
        <f aca="false">SUM(AY36:BC36)</f>
        <v>20.5</v>
      </c>
      <c r="BE36" s="379" t="n">
        <v>3.5</v>
      </c>
      <c r="BF36" s="379"/>
      <c r="BG36" s="379"/>
      <c r="BH36" s="379" t="n">
        <f aca="false">+BE36+BF36+BG36</f>
        <v>3.5</v>
      </c>
      <c r="BI36" s="379" t="n">
        <v>4</v>
      </c>
      <c r="BJ36" s="379"/>
      <c r="BK36" s="372"/>
      <c r="BL36" s="379"/>
      <c r="BM36" s="372"/>
      <c r="BN36" s="372"/>
      <c r="BO36" s="372"/>
      <c r="BP36" s="372"/>
      <c r="BQ36" s="372"/>
      <c r="BR36" s="371" t="n">
        <f aca="false">+D36+K36+S36+AD36+AU36+AX36+BD36+BH36+BL36+BP36+BQ36+BI36</f>
        <v>100</v>
      </c>
      <c r="BS36" s="374" t="n">
        <f aca="false">+((K36+S36+AD36+AU36+AX36+BD36)*0.5)+D36+BP36+BQ36</f>
        <v>50.25</v>
      </c>
    </row>
    <row r="37" customFormat="false" ht="13.2" hidden="false" customHeight="false" outlineLevel="0" collapsed="false">
      <c r="A37" s="354" t="n">
        <v>36724</v>
      </c>
      <c r="B37" s="371"/>
      <c r="C37" s="371"/>
      <c r="D37" s="372"/>
      <c r="E37" s="372"/>
      <c r="F37" s="372" t="n">
        <v>11.5</v>
      </c>
      <c r="G37" s="372"/>
      <c r="H37" s="372"/>
      <c r="I37" s="372" t="n">
        <v>10</v>
      </c>
      <c r="J37" s="372" t="n">
        <v>10</v>
      </c>
      <c r="K37" s="373" t="n">
        <f aca="false">SUM(E37:J37)</f>
        <v>31.5</v>
      </c>
      <c r="L37" s="372"/>
      <c r="M37" s="372"/>
      <c r="N37" s="372" t="n">
        <v>5</v>
      </c>
      <c r="O37" s="372" t="n">
        <v>6</v>
      </c>
      <c r="P37" s="372"/>
      <c r="Q37" s="372"/>
      <c r="R37" s="372"/>
      <c r="S37" s="373" t="n">
        <f aca="false">SUM(M37:R37)</f>
        <v>11</v>
      </c>
      <c r="T37" s="372"/>
      <c r="U37" s="372"/>
      <c r="V37" s="372"/>
      <c r="W37" s="372"/>
      <c r="X37" s="372"/>
      <c r="Y37" s="372"/>
      <c r="Z37" s="372"/>
      <c r="AA37" s="372" t="n">
        <v>10</v>
      </c>
      <c r="AB37" s="372" t="n">
        <v>5.5</v>
      </c>
      <c r="AC37" s="372" t="n">
        <v>10</v>
      </c>
      <c r="AD37" s="373" t="n">
        <f aca="false">SUM(T37:AC37)</f>
        <v>25.5</v>
      </c>
      <c r="AE37" s="372" t="s">
        <v>662</v>
      </c>
      <c r="AF37" s="372" t="n">
        <v>12.5</v>
      </c>
      <c r="AG37" s="372" t="n">
        <v>10</v>
      </c>
      <c r="AH37" s="372" t="n">
        <v>10</v>
      </c>
      <c r="AI37" s="372" t="n">
        <v>5</v>
      </c>
      <c r="AJ37" s="372"/>
      <c r="AK37" s="372" t="n">
        <v>5</v>
      </c>
      <c r="AL37" s="372" t="n">
        <v>5</v>
      </c>
      <c r="AM37" s="372" t="n">
        <v>5</v>
      </c>
      <c r="AN37" s="372" t="n">
        <v>5</v>
      </c>
      <c r="AO37" s="372"/>
      <c r="AP37" s="372"/>
      <c r="AQ37" s="372" t="n">
        <v>11.5</v>
      </c>
      <c r="AR37" s="372" t="n">
        <v>10.5</v>
      </c>
      <c r="AS37" s="372" t="n">
        <v>10.5</v>
      </c>
      <c r="AT37" s="372"/>
      <c r="AU37" s="373" t="n">
        <f aca="false">SUM(AE37:AT37)</f>
        <v>90</v>
      </c>
      <c r="AV37" s="372" t="n">
        <v>10</v>
      </c>
      <c r="AW37" s="372" t="n">
        <v>9</v>
      </c>
      <c r="AX37" s="373" t="n">
        <f aca="false">+AW37+AV37</f>
        <v>19</v>
      </c>
      <c r="AY37" s="372" t="n">
        <v>9</v>
      </c>
      <c r="AZ37" s="372" t="n">
        <v>2</v>
      </c>
      <c r="BA37" s="372"/>
      <c r="BB37" s="372" t="n">
        <v>12.5</v>
      </c>
      <c r="BC37" s="372" t="n">
        <v>10.5</v>
      </c>
      <c r="BD37" s="373" t="n">
        <f aca="false">SUM(AY37:BC37)</f>
        <v>34</v>
      </c>
      <c r="BE37" s="379" t="n">
        <v>4</v>
      </c>
      <c r="BF37" s="379" t="n">
        <v>4</v>
      </c>
      <c r="BG37" s="379" t="n">
        <v>4</v>
      </c>
      <c r="BH37" s="379" t="n">
        <f aca="false">+BE37+BF37+BG37</f>
        <v>12</v>
      </c>
      <c r="BI37" s="379" t="n">
        <v>4</v>
      </c>
      <c r="BJ37" s="379" t="n">
        <v>4</v>
      </c>
      <c r="BK37" s="372"/>
      <c r="BL37" s="379" t="n">
        <f aca="false">+BJ37+BK37</f>
        <v>4</v>
      </c>
      <c r="BM37" s="372" t="n">
        <v>5</v>
      </c>
      <c r="BN37" s="372"/>
      <c r="BO37" s="372"/>
      <c r="BP37" s="372" t="n">
        <f aca="false">+BM37+BN37+BO37</f>
        <v>5</v>
      </c>
      <c r="BQ37" s="372" t="n">
        <v>5</v>
      </c>
      <c r="BR37" s="371" t="n">
        <f aca="false">+D37+K37+S37+AD37+AU37+AX37+BD37+BH37+BL37+BP37+BQ37+BI37</f>
        <v>241</v>
      </c>
      <c r="BS37" s="374" t="n">
        <f aca="false">+((K37+S37+AD37+AU37+AX37+BD37)*0.5)+D37+BP37+BQ37</f>
        <v>115.5</v>
      </c>
    </row>
    <row r="38" customFormat="false" ht="13.2" hidden="false" customHeight="false" outlineLevel="0" collapsed="false">
      <c r="A38" s="354" t="n">
        <v>36725</v>
      </c>
      <c r="B38" s="371"/>
      <c r="C38" s="371"/>
      <c r="D38" s="372"/>
      <c r="E38" s="372"/>
      <c r="F38" s="372" t="n">
        <v>10</v>
      </c>
      <c r="G38" s="372"/>
      <c r="H38" s="372"/>
      <c r="I38" s="372"/>
      <c r="J38" s="372"/>
      <c r="K38" s="373" t="n">
        <f aca="false">SUM(E38:J38)</f>
        <v>10</v>
      </c>
      <c r="L38" s="372"/>
      <c r="M38" s="372"/>
      <c r="N38" s="372" t="n">
        <v>5</v>
      </c>
      <c r="O38" s="372" t="n">
        <v>5</v>
      </c>
      <c r="P38" s="372"/>
      <c r="Q38" s="372"/>
      <c r="R38" s="372"/>
      <c r="S38" s="373" t="n">
        <f aca="false">SUM(M38:R38)</f>
        <v>10</v>
      </c>
      <c r="T38" s="372"/>
      <c r="U38" s="372"/>
      <c r="V38" s="372"/>
      <c r="W38" s="372" t="n">
        <v>5</v>
      </c>
      <c r="X38" s="372"/>
      <c r="Y38" s="372"/>
      <c r="Z38" s="372"/>
      <c r="AA38" s="372"/>
      <c r="AB38" s="372"/>
      <c r="AC38" s="372" t="n">
        <v>10</v>
      </c>
      <c r="AD38" s="373" t="n">
        <f aca="false">SUM(T38:AC38)</f>
        <v>15</v>
      </c>
      <c r="AE38" s="372"/>
      <c r="AF38" s="372" t="n">
        <v>12.5</v>
      </c>
      <c r="AG38" s="372" t="n">
        <v>10</v>
      </c>
      <c r="AH38" s="372" t="n">
        <v>10</v>
      </c>
      <c r="AI38" s="372" t="n">
        <v>5</v>
      </c>
      <c r="AJ38" s="372"/>
      <c r="AK38" s="372" t="n">
        <v>5</v>
      </c>
      <c r="AL38" s="372" t="n">
        <v>5</v>
      </c>
      <c r="AM38" s="372" t="n">
        <v>5</v>
      </c>
      <c r="AN38" s="372" t="n">
        <v>5</v>
      </c>
      <c r="AO38" s="372"/>
      <c r="AP38" s="372"/>
      <c r="AQ38" s="372" t="n">
        <v>11</v>
      </c>
      <c r="AR38" s="372" t="n">
        <v>11</v>
      </c>
      <c r="AS38" s="372" t="n">
        <v>11</v>
      </c>
      <c r="AT38" s="372"/>
      <c r="AU38" s="373" t="n">
        <f aca="false">SUM(AE38:AT38)</f>
        <v>90.5</v>
      </c>
      <c r="AV38" s="372" t="n">
        <v>10</v>
      </c>
      <c r="AW38" s="372"/>
      <c r="AX38" s="373" t="n">
        <f aca="false">+AW38+AV38</f>
        <v>10</v>
      </c>
      <c r="AY38" s="372" t="n">
        <v>2</v>
      </c>
      <c r="AZ38" s="372" t="n">
        <v>2</v>
      </c>
      <c r="BA38" s="372"/>
      <c r="BB38" s="372" t="n">
        <v>12.5</v>
      </c>
      <c r="BC38" s="372" t="n">
        <v>10</v>
      </c>
      <c r="BD38" s="373" t="n">
        <f aca="false">SUM(AY38:BC38)</f>
        <v>26.5</v>
      </c>
      <c r="BE38" s="379" t="n">
        <v>5.5</v>
      </c>
      <c r="BF38" s="379" t="n">
        <v>4</v>
      </c>
      <c r="BG38" s="379" t="n">
        <v>6.5</v>
      </c>
      <c r="BH38" s="379" t="n">
        <f aca="false">+BE38+BF38+BG38</f>
        <v>16</v>
      </c>
      <c r="BI38" s="379" t="n">
        <v>4</v>
      </c>
      <c r="BJ38" s="379" t="n">
        <v>4</v>
      </c>
      <c r="BK38" s="372"/>
      <c r="BL38" s="379" t="n">
        <f aca="false">+BJ38+BK38</f>
        <v>4</v>
      </c>
      <c r="BM38" s="372"/>
      <c r="BN38" s="372"/>
      <c r="BO38" s="372"/>
      <c r="BP38" s="372"/>
      <c r="BQ38" s="372"/>
      <c r="BR38" s="371" t="n">
        <f aca="false">+D38+K38+S38+AD38+AU38+AX38+BD38+BH38+BL38+BP38+BQ38+BI38</f>
        <v>186</v>
      </c>
      <c r="BS38" s="374" t="n">
        <f aca="false">+((K38+S38+AD38+AU38+AX38+BD38)*0.5)+D38+BP38+BQ38</f>
        <v>81</v>
      </c>
    </row>
    <row r="39" customFormat="false" ht="13.2" hidden="false" customHeight="false" outlineLevel="0" collapsed="false">
      <c r="A39" s="354" t="n">
        <v>36726</v>
      </c>
      <c r="B39" s="371"/>
      <c r="C39" s="371"/>
      <c r="D39" s="372"/>
      <c r="E39" s="372"/>
      <c r="F39" s="372"/>
      <c r="G39" s="372"/>
      <c r="H39" s="372"/>
      <c r="I39" s="372"/>
      <c r="J39" s="372"/>
      <c r="K39" s="373"/>
      <c r="L39" s="372"/>
      <c r="M39" s="372"/>
      <c r="N39" s="372" t="n">
        <v>6</v>
      </c>
      <c r="O39" s="372" t="n">
        <v>6</v>
      </c>
      <c r="P39" s="372"/>
      <c r="Q39" s="372"/>
      <c r="R39" s="372"/>
      <c r="S39" s="373" t="n">
        <f aca="false">SUM(M39:R39)</f>
        <v>12</v>
      </c>
      <c r="T39" s="372"/>
      <c r="U39" s="372"/>
      <c r="V39" s="372"/>
      <c r="W39" s="372" t="n">
        <v>5</v>
      </c>
      <c r="X39" s="372"/>
      <c r="Y39" s="372"/>
      <c r="Z39" s="372"/>
      <c r="AA39" s="372"/>
      <c r="AB39" s="372"/>
      <c r="AC39" s="372" t="n">
        <v>10</v>
      </c>
      <c r="AD39" s="373" t="n">
        <f aca="false">SUM(T39:AC39)</f>
        <v>15</v>
      </c>
      <c r="AE39" s="372"/>
      <c r="AF39" s="372" t="n">
        <v>12.5</v>
      </c>
      <c r="AG39" s="372" t="n">
        <v>10</v>
      </c>
      <c r="AH39" s="372" t="n">
        <v>11</v>
      </c>
      <c r="AI39" s="372" t="n">
        <v>5</v>
      </c>
      <c r="AJ39" s="372"/>
      <c r="AK39" s="372" t="n">
        <v>6</v>
      </c>
      <c r="AL39" s="372" t="n">
        <v>6</v>
      </c>
      <c r="AM39" s="372" t="n">
        <v>6</v>
      </c>
      <c r="AN39" s="372" t="n">
        <v>6</v>
      </c>
      <c r="AO39" s="372"/>
      <c r="AP39" s="372"/>
      <c r="AQ39" s="372" t="n">
        <v>9.5</v>
      </c>
      <c r="AR39" s="372" t="n">
        <v>10</v>
      </c>
      <c r="AS39" s="372" t="n">
        <v>9.5</v>
      </c>
      <c r="AT39" s="372"/>
      <c r="AU39" s="373" t="n">
        <f aca="false">SUM(AE39:AT39)</f>
        <v>91.5</v>
      </c>
      <c r="AV39" s="372" t="n">
        <v>11</v>
      </c>
      <c r="AW39" s="372"/>
      <c r="AX39" s="373" t="n">
        <f aca="false">+AW39+AV39</f>
        <v>11</v>
      </c>
      <c r="AY39" s="372" t="n">
        <v>2</v>
      </c>
      <c r="AZ39" s="372" t="n">
        <v>1</v>
      </c>
      <c r="BA39" s="372"/>
      <c r="BB39" s="372" t="n">
        <v>12.5</v>
      </c>
      <c r="BC39" s="372" t="n">
        <v>5.5</v>
      </c>
      <c r="BD39" s="373" t="n">
        <f aca="false">SUM(AY39:BC39)</f>
        <v>21</v>
      </c>
      <c r="BE39" s="379" t="n">
        <v>4.5</v>
      </c>
      <c r="BF39" s="379" t="n">
        <v>4</v>
      </c>
      <c r="BG39" s="379" t="n">
        <v>4</v>
      </c>
      <c r="BH39" s="379" t="n">
        <f aca="false">+BE39+BF39+BG39</f>
        <v>12.5</v>
      </c>
      <c r="BI39" s="379" t="n">
        <v>3.5</v>
      </c>
      <c r="BJ39" s="379" t="n">
        <v>4</v>
      </c>
      <c r="BK39" s="372"/>
      <c r="BL39" s="379" t="n">
        <f aca="false">+BJ39+BK39</f>
        <v>4</v>
      </c>
      <c r="BM39" s="372"/>
      <c r="BN39" s="372"/>
      <c r="BO39" s="372"/>
      <c r="BP39" s="372"/>
      <c r="BQ39" s="372"/>
      <c r="BR39" s="371" t="n">
        <f aca="false">+D39+K39+S39+AD39+AU39+AX39+BD39+BH39+BL39+BP39+BQ39+BI39</f>
        <v>170.5</v>
      </c>
      <c r="BS39" s="374" t="n">
        <f aca="false">+((K39+S39+AD39+AU39+AX39+BD39)*0.5)+D39+BP39+BQ39</f>
        <v>75.25</v>
      </c>
    </row>
    <row r="40" customFormat="false" ht="13.2" hidden="false" customHeight="false" outlineLevel="0" collapsed="false">
      <c r="A40" s="354" t="n">
        <v>36727</v>
      </c>
      <c r="B40" s="371"/>
      <c r="C40" s="371"/>
      <c r="D40" s="372"/>
      <c r="E40" s="372"/>
      <c r="F40" s="372" t="n">
        <v>7.5</v>
      </c>
      <c r="G40" s="372"/>
      <c r="H40" s="372"/>
      <c r="I40" s="372" t="n">
        <v>9</v>
      </c>
      <c r="J40" s="372" t="n">
        <v>9</v>
      </c>
      <c r="K40" s="373" t="n">
        <f aca="false">SUM(E40:J40)</f>
        <v>25.5</v>
      </c>
      <c r="L40" s="372"/>
      <c r="M40" s="372"/>
      <c r="N40" s="372" t="n">
        <v>5</v>
      </c>
      <c r="O40" s="372" t="n">
        <v>7</v>
      </c>
      <c r="P40" s="372"/>
      <c r="Q40" s="372"/>
      <c r="R40" s="372"/>
      <c r="S40" s="373" t="n">
        <f aca="false">SUM(M40:R40)</f>
        <v>12</v>
      </c>
      <c r="T40" s="372"/>
      <c r="U40" s="372"/>
      <c r="V40" s="372"/>
      <c r="W40" s="372" t="n">
        <v>6</v>
      </c>
      <c r="X40" s="372"/>
      <c r="Y40" s="372"/>
      <c r="Z40" s="372" t="n">
        <v>6</v>
      </c>
      <c r="AA40" s="372"/>
      <c r="AB40" s="372" t="n">
        <v>6</v>
      </c>
      <c r="AC40" s="372" t="n">
        <v>15.5</v>
      </c>
      <c r="AD40" s="373" t="n">
        <f aca="false">SUM(T40:AC40)</f>
        <v>33.5</v>
      </c>
      <c r="AE40" s="372"/>
      <c r="AF40" s="372" t="n">
        <v>12.5</v>
      </c>
      <c r="AG40" s="372" t="n">
        <v>9</v>
      </c>
      <c r="AH40" s="372" t="n">
        <v>9</v>
      </c>
      <c r="AI40" s="372" t="n">
        <v>5</v>
      </c>
      <c r="AJ40" s="372"/>
      <c r="AK40" s="372" t="n">
        <v>7</v>
      </c>
      <c r="AL40" s="372" t="n">
        <v>7</v>
      </c>
      <c r="AM40" s="372" t="n">
        <v>7</v>
      </c>
      <c r="AN40" s="372" t="n">
        <v>5</v>
      </c>
      <c r="AO40" s="372"/>
      <c r="AP40" s="372"/>
      <c r="AQ40" s="372" t="n">
        <v>9</v>
      </c>
      <c r="AR40" s="372" t="n">
        <v>12</v>
      </c>
      <c r="AS40" s="372" t="n">
        <v>10</v>
      </c>
      <c r="AT40" s="372"/>
      <c r="AU40" s="373" t="n">
        <f aca="false">SUM(AE40:AT40)</f>
        <v>92.5</v>
      </c>
      <c r="AV40" s="372" t="n">
        <v>11.5</v>
      </c>
      <c r="AW40" s="372"/>
      <c r="AX40" s="373" t="n">
        <f aca="false">+AW40+AV40</f>
        <v>11.5</v>
      </c>
      <c r="AY40" s="372" t="n">
        <v>3</v>
      </c>
      <c r="AZ40" s="372" t="n">
        <v>2</v>
      </c>
      <c r="BA40" s="372"/>
      <c r="BB40" s="372" t="n">
        <v>13</v>
      </c>
      <c r="BC40" s="372" t="s">
        <v>662</v>
      </c>
      <c r="BD40" s="373" t="n">
        <f aca="false">SUM(AY40:BC40)</f>
        <v>18</v>
      </c>
      <c r="BE40" s="379" t="n">
        <v>4</v>
      </c>
      <c r="BF40" s="379" t="n">
        <v>4</v>
      </c>
      <c r="BG40" s="379" t="n">
        <v>4</v>
      </c>
      <c r="BH40" s="379" t="n">
        <f aca="false">+BE40+BF40+BG40</f>
        <v>12</v>
      </c>
      <c r="BI40" s="379" t="n">
        <v>3</v>
      </c>
      <c r="BJ40" s="379" t="n">
        <v>3</v>
      </c>
      <c r="BK40" s="372"/>
      <c r="BL40" s="379" t="n">
        <f aca="false">+BJ40+BK40</f>
        <v>3</v>
      </c>
      <c r="BM40" s="372"/>
      <c r="BN40" s="372"/>
      <c r="BO40" s="372"/>
      <c r="BP40" s="372"/>
      <c r="BQ40" s="372"/>
      <c r="BR40" s="371" t="n">
        <f aca="false">+D40+K40+S40+AD40+AU40+AX40+BD40+BH40+BL40+BP40+BQ40+BI40</f>
        <v>211</v>
      </c>
      <c r="BS40" s="374" t="n">
        <f aca="false">+((K40+S40+AD40+AU40+AX40+BD40)*0.5)+D40+BP40+BQ40</f>
        <v>96.5</v>
      </c>
    </row>
    <row r="41" customFormat="false" ht="13.2" hidden="false" customHeight="false" outlineLevel="0" collapsed="false">
      <c r="A41" s="354" t="n">
        <v>36728</v>
      </c>
      <c r="B41" s="371"/>
      <c r="C41" s="371"/>
      <c r="D41" s="372"/>
      <c r="E41" s="372"/>
      <c r="F41" s="372"/>
      <c r="G41" s="372"/>
      <c r="H41" s="372"/>
      <c r="I41" s="372"/>
      <c r="J41" s="372"/>
      <c r="K41" s="373"/>
      <c r="L41" s="372"/>
      <c r="M41" s="372"/>
      <c r="N41" s="372"/>
      <c r="O41" s="372"/>
      <c r="P41" s="372"/>
      <c r="Q41" s="372"/>
      <c r="R41" s="372"/>
      <c r="S41" s="373"/>
      <c r="T41" s="372"/>
      <c r="U41" s="372"/>
      <c r="V41" s="372"/>
      <c r="W41" s="372" t="n">
        <v>4</v>
      </c>
      <c r="X41" s="372"/>
      <c r="Y41" s="372"/>
      <c r="Z41" s="372" t="n">
        <v>2</v>
      </c>
      <c r="AA41" s="372"/>
      <c r="AB41" s="372"/>
      <c r="AC41" s="372" t="n">
        <v>10</v>
      </c>
      <c r="AD41" s="373" t="n">
        <f aca="false">SUM(T41:AC41)</f>
        <v>16</v>
      </c>
      <c r="AE41" s="372"/>
      <c r="AF41" s="372"/>
      <c r="AG41" s="372" t="n">
        <v>10</v>
      </c>
      <c r="AH41" s="372" t="n">
        <v>10</v>
      </c>
      <c r="AI41" s="372" t="n">
        <v>5</v>
      </c>
      <c r="AJ41" s="372"/>
      <c r="AK41" s="372" t="n">
        <v>5</v>
      </c>
      <c r="AL41" s="372" t="n">
        <v>5</v>
      </c>
      <c r="AM41" s="372" t="n">
        <v>5</v>
      </c>
      <c r="AN41" s="372" t="n">
        <v>5</v>
      </c>
      <c r="AO41" s="372"/>
      <c r="AP41" s="372"/>
      <c r="AQ41" s="372" t="n">
        <v>10</v>
      </c>
      <c r="AR41" s="372" t="n">
        <v>10</v>
      </c>
      <c r="AS41" s="372" t="n">
        <v>10</v>
      </c>
      <c r="AT41" s="372"/>
      <c r="AU41" s="373" t="n">
        <f aca="false">SUM(AE41:AT41)</f>
        <v>75</v>
      </c>
      <c r="AV41" s="372" t="n">
        <v>10</v>
      </c>
      <c r="AW41" s="372"/>
      <c r="AX41" s="373" t="n">
        <f aca="false">+AW41+AV41</f>
        <v>10</v>
      </c>
      <c r="AY41" s="372" t="n">
        <v>2</v>
      </c>
      <c r="AZ41" s="372" t="n">
        <v>2</v>
      </c>
      <c r="BA41" s="372"/>
      <c r="BB41" s="372" t="n">
        <v>12.5</v>
      </c>
      <c r="BC41" s="372"/>
      <c r="BD41" s="373" t="n">
        <f aca="false">SUM(AY41:BC41)</f>
        <v>16.5</v>
      </c>
      <c r="BE41" s="379" t="n">
        <v>4</v>
      </c>
      <c r="BF41" s="379" t="n">
        <v>4</v>
      </c>
      <c r="BG41" s="379" t="n">
        <v>4</v>
      </c>
      <c r="BH41" s="379" t="n">
        <f aca="false">+BE41+BF41+BG41</f>
        <v>12</v>
      </c>
      <c r="BI41" s="379" t="n">
        <v>4</v>
      </c>
      <c r="BJ41" s="379" t="n">
        <v>4</v>
      </c>
      <c r="BK41" s="372"/>
      <c r="BL41" s="379" t="n">
        <f aca="false">+BJ41+BK41</f>
        <v>4</v>
      </c>
      <c r="BM41" s="372"/>
      <c r="BN41" s="372"/>
      <c r="BO41" s="372"/>
      <c r="BP41" s="372"/>
      <c r="BQ41" s="372"/>
      <c r="BR41" s="371" t="n">
        <f aca="false">+D41+K41+S41+AD41+AU41+AX41+BD41+BH41+BL41+BP41+BQ41+BI41</f>
        <v>137.5</v>
      </c>
      <c r="BS41" s="374" t="n">
        <f aca="false">+((K41+S41+AD41+AU41+AX41+BD41)*0.5)+D41+BP41+BQ41</f>
        <v>58.75</v>
      </c>
    </row>
    <row r="42" customFormat="false" ht="13.2" hidden="false" customHeight="false" outlineLevel="0" collapsed="false">
      <c r="A42" s="354" t="n">
        <v>36729</v>
      </c>
      <c r="B42" s="371"/>
      <c r="C42" s="371"/>
      <c r="D42" s="372"/>
      <c r="E42" s="372"/>
      <c r="F42" s="372" t="n">
        <v>10</v>
      </c>
      <c r="G42" s="372"/>
      <c r="H42" s="372"/>
      <c r="I42" s="372" t="n">
        <v>10</v>
      </c>
      <c r="J42" s="372" t="n">
        <v>10</v>
      </c>
      <c r="K42" s="373" t="n">
        <f aca="false">SUM(E42:J42)</f>
        <v>30</v>
      </c>
      <c r="L42" s="372"/>
      <c r="M42" s="372"/>
      <c r="N42" s="372" t="s">
        <v>662</v>
      </c>
      <c r="O42" s="372" t="n">
        <v>5</v>
      </c>
      <c r="P42" s="372"/>
      <c r="Q42" s="372"/>
      <c r="R42" s="372"/>
      <c r="S42" s="373" t="n">
        <f aca="false">SUM(M42:R42)</f>
        <v>5</v>
      </c>
      <c r="T42" s="372"/>
      <c r="U42" s="372"/>
      <c r="V42" s="372"/>
      <c r="W42" s="372" t="n">
        <v>5</v>
      </c>
      <c r="X42" s="372"/>
      <c r="Y42" s="372"/>
      <c r="Z42" s="372"/>
      <c r="AA42" s="372"/>
      <c r="AB42" s="372"/>
      <c r="AC42" s="372" t="n">
        <v>14.5</v>
      </c>
      <c r="AD42" s="373" t="n">
        <f aca="false">SUM(T42:AC42)</f>
        <v>19.5</v>
      </c>
      <c r="AE42" s="372"/>
      <c r="AF42" s="372" t="s">
        <v>662</v>
      </c>
      <c r="AG42" s="372" t="n">
        <v>5</v>
      </c>
      <c r="AH42" s="372" t="n">
        <v>8</v>
      </c>
      <c r="AI42" s="372" t="n">
        <v>5</v>
      </c>
      <c r="AJ42" s="372"/>
      <c r="AK42" s="372" t="n">
        <v>5</v>
      </c>
      <c r="AL42" s="372" t="n">
        <v>5</v>
      </c>
      <c r="AM42" s="372" t="n">
        <v>5</v>
      </c>
      <c r="AN42" s="372" t="n">
        <v>8</v>
      </c>
      <c r="AO42" s="372"/>
      <c r="AP42" s="372"/>
      <c r="AQ42" s="372" t="n">
        <v>8</v>
      </c>
      <c r="AR42" s="372" t="n">
        <v>8</v>
      </c>
      <c r="AS42" s="372" t="n">
        <v>8</v>
      </c>
      <c r="AT42" s="372" t="s">
        <v>662</v>
      </c>
      <c r="AU42" s="373" t="n">
        <f aca="false">SUM(AE42:AT42)</f>
        <v>65</v>
      </c>
      <c r="AV42" s="372" t="n">
        <v>14.5</v>
      </c>
      <c r="AW42" s="372"/>
      <c r="AX42" s="373" t="n">
        <f aca="false">+AW42+AV42</f>
        <v>14.5</v>
      </c>
      <c r="AY42" s="372" t="n">
        <v>1</v>
      </c>
      <c r="AZ42" s="372" t="n">
        <v>1</v>
      </c>
      <c r="BA42" s="372"/>
      <c r="BB42" s="372" t="n">
        <v>8</v>
      </c>
      <c r="BC42" s="372"/>
      <c r="BD42" s="373" t="n">
        <f aca="false">SUM(AY42:BC42)</f>
        <v>10</v>
      </c>
      <c r="BE42" s="379"/>
      <c r="BF42" s="379"/>
      <c r="BG42" s="379" t="n">
        <v>4</v>
      </c>
      <c r="BH42" s="379" t="n">
        <f aca="false">+BE42+BF42+BG42</f>
        <v>4</v>
      </c>
      <c r="BI42" s="379" t="n">
        <v>1.5</v>
      </c>
      <c r="BJ42" s="379"/>
      <c r="BK42" s="372"/>
      <c r="BL42" s="379"/>
      <c r="BM42" s="372"/>
      <c r="BN42" s="372"/>
      <c r="BO42" s="372"/>
      <c r="BP42" s="372"/>
      <c r="BQ42" s="372"/>
      <c r="BR42" s="371" t="n">
        <f aca="false">+D42+K42+S42+AD42+AU42+AX42+BD42+BH42+BL42+BP42+BQ42+BI42</f>
        <v>149.5</v>
      </c>
      <c r="BS42" s="374" t="n">
        <f aca="false">+((K42+S42+AD42+AU42+AX42+BD42)*0.5)+D42+BP42+BQ42</f>
        <v>72</v>
      </c>
    </row>
    <row r="43" customFormat="false" ht="13.2" hidden="false" customHeight="false" outlineLevel="0" collapsed="false">
      <c r="A43" s="354" t="n">
        <v>36730</v>
      </c>
      <c r="B43" s="371"/>
      <c r="C43" s="371"/>
      <c r="D43" s="372"/>
      <c r="E43" s="372"/>
      <c r="F43" s="372"/>
      <c r="G43" s="372"/>
      <c r="H43" s="372"/>
      <c r="I43" s="372"/>
      <c r="J43" s="372"/>
      <c r="K43" s="372"/>
      <c r="L43" s="372"/>
      <c r="M43" s="372"/>
      <c r="N43" s="372"/>
      <c r="O43" s="372"/>
      <c r="P43" s="372"/>
      <c r="Q43" s="372"/>
      <c r="R43" s="372"/>
      <c r="S43" s="373"/>
      <c r="T43" s="372"/>
      <c r="U43" s="372"/>
      <c r="V43" s="372"/>
      <c r="W43" s="372"/>
      <c r="X43" s="372"/>
      <c r="Y43" s="372"/>
      <c r="Z43" s="372"/>
      <c r="AA43" s="372"/>
      <c r="AB43" s="372"/>
      <c r="AC43" s="372" t="n">
        <v>10</v>
      </c>
      <c r="AD43" s="373" t="n">
        <f aca="false">SUM(T43:AC43)</f>
        <v>10</v>
      </c>
      <c r="AE43" s="372"/>
      <c r="AF43" s="372"/>
      <c r="AG43" s="372"/>
      <c r="AH43" s="372"/>
      <c r="AI43" s="372"/>
      <c r="AJ43" s="372"/>
      <c r="AK43" s="372"/>
      <c r="AL43" s="372"/>
      <c r="AM43" s="372"/>
      <c r="AN43" s="372"/>
      <c r="AO43" s="372"/>
      <c r="AP43" s="372"/>
      <c r="AQ43" s="372" t="n">
        <v>9.5</v>
      </c>
      <c r="AR43" s="372" t="n">
        <v>4</v>
      </c>
      <c r="AS43" s="372" t="n">
        <v>10</v>
      </c>
      <c r="AT43" s="372"/>
      <c r="AU43" s="373" t="n">
        <f aca="false">SUM(AE43:AT43)</f>
        <v>23.5</v>
      </c>
      <c r="AV43" s="372" t="n">
        <v>4</v>
      </c>
      <c r="AW43" s="372"/>
      <c r="AX43" s="373" t="n">
        <f aca="false">+AW43+AV43</f>
        <v>4</v>
      </c>
      <c r="AY43" s="372"/>
      <c r="AZ43" s="372"/>
      <c r="BA43" s="372"/>
      <c r="BB43" s="372"/>
      <c r="BC43" s="372"/>
      <c r="BD43" s="373"/>
      <c r="BE43" s="372"/>
      <c r="BF43" s="372"/>
      <c r="BG43" s="372"/>
      <c r="BH43" s="372"/>
      <c r="BI43" s="372"/>
      <c r="BJ43" s="372"/>
      <c r="BK43" s="372"/>
      <c r="BL43" s="372"/>
      <c r="BM43" s="372"/>
      <c r="BN43" s="372"/>
      <c r="BO43" s="372"/>
      <c r="BP43" s="372"/>
      <c r="BQ43" s="372"/>
      <c r="BR43" s="380" t="n">
        <f aca="false">+D43+K43+S43+AD43+AU43+AX43+BD43+BH43+BL43+BP43+BQ43+BI43</f>
        <v>37.5</v>
      </c>
      <c r="BS43" s="374" t="n">
        <f aca="false">+((K43+S43+AD43+AU43+AX43+BD43)*0.5)+D43+BP43+BQ43</f>
        <v>18.75</v>
      </c>
      <c r="BT43" s="375" t="n">
        <f aca="false">SUM(BS33:BS43)</f>
        <v>783</v>
      </c>
    </row>
    <row r="44" customFormat="false" ht="13.2" hidden="false" customHeight="false" outlineLevel="0" collapsed="false">
      <c r="A44" s="381"/>
      <c r="B44" s="381" t="s">
        <v>663</v>
      </c>
      <c r="C44" s="381"/>
      <c r="D44" s="381"/>
      <c r="E44" s="381"/>
      <c r="F44" s="382"/>
      <c r="G44" s="381"/>
      <c r="H44" s="381"/>
      <c r="I44" s="381"/>
      <c r="J44" s="382"/>
      <c r="K44" s="382"/>
      <c r="L44" s="381"/>
      <c r="M44" s="381"/>
      <c r="N44" s="382"/>
      <c r="O44" s="382"/>
      <c r="P44" s="382"/>
      <c r="Q44" s="382"/>
      <c r="R44" s="382"/>
      <c r="S44" s="382"/>
      <c r="T44" s="381"/>
      <c r="U44" s="381"/>
      <c r="V44" s="381"/>
      <c r="W44" s="382"/>
      <c r="X44" s="382"/>
      <c r="Y44" s="382"/>
      <c r="Z44" s="382"/>
      <c r="AA44" s="382"/>
      <c r="AB44" s="382"/>
      <c r="AC44" s="381"/>
      <c r="AD44" s="381"/>
      <c r="AE44" s="382"/>
      <c r="AF44" s="382"/>
      <c r="AG44" s="382"/>
      <c r="AH44" s="381" t="s">
        <v>663</v>
      </c>
      <c r="AI44" s="382"/>
      <c r="AJ44" s="382"/>
      <c r="AK44" s="382"/>
      <c r="AL44" s="382"/>
      <c r="AM44" s="382"/>
      <c r="AN44" s="382"/>
      <c r="AO44" s="382"/>
      <c r="AP44" s="382"/>
      <c r="AQ44" s="381"/>
      <c r="AR44" s="381"/>
      <c r="AS44" s="382"/>
      <c r="AT44" s="382"/>
      <c r="AU44" s="382"/>
      <c r="AV44" s="382"/>
      <c r="AW44" s="382"/>
      <c r="AX44" s="382"/>
      <c r="AY44" s="382"/>
      <c r="AZ44" s="381"/>
      <c r="BA44" s="382"/>
      <c r="BB44" s="382"/>
      <c r="BC44" s="382"/>
      <c r="BD44" s="382"/>
      <c r="BE44" s="381"/>
      <c r="BF44" s="382"/>
      <c r="BG44" s="382"/>
      <c r="BH44" s="382"/>
      <c r="BI44" s="381" t="s">
        <v>663</v>
      </c>
      <c r="BJ44" s="382"/>
      <c r="BK44" s="382"/>
      <c r="BL44" s="382"/>
      <c r="BM44" s="382"/>
      <c r="BN44" s="382"/>
      <c r="BO44" s="382"/>
      <c r="BP44" s="382"/>
      <c r="BQ44" s="382"/>
      <c r="BR44" s="382"/>
    </row>
    <row r="45" customFormat="false" ht="13.2" hidden="false" customHeight="false" outlineLevel="0" collapsed="false">
      <c r="A45" s="383"/>
      <c r="B45" s="384"/>
      <c r="C45" s="384"/>
      <c r="D45" s="384"/>
      <c r="E45" s="384"/>
      <c r="F45" s="384"/>
      <c r="G45" s="384"/>
      <c r="H45" s="384"/>
      <c r="I45" s="384"/>
      <c r="J45" s="384"/>
      <c r="K45" s="384"/>
      <c r="L45" s="384"/>
      <c r="M45" s="384"/>
      <c r="N45" s="384"/>
      <c r="O45" s="384"/>
      <c r="P45" s="384"/>
      <c r="Q45" s="384"/>
      <c r="R45" s="384"/>
      <c r="S45" s="384"/>
      <c r="T45" s="384"/>
      <c r="U45" s="384"/>
      <c r="V45" s="384"/>
      <c r="W45" s="384"/>
      <c r="X45" s="384"/>
      <c r="Y45" s="384"/>
      <c r="Z45" s="384"/>
      <c r="AA45" s="384"/>
      <c r="AB45" s="384"/>
      <c r="AC45" s="384"/>
      <c r="AD45" s="384"/>
      <c r="AE45" s="384"/>
      <c r="AF45" s="384"/>
      <c r="AG45" s="384"/>
      <c r="AH45" s="384"/>
      <c r="AI45" s="384"/>
      <c r="AJ45" s="384"/>
      <c r="AK45" s="384"/>
      <c r="AL45" s="384"/>
      <c r="AM45" s="384"/>
      <c r="AN45" s="384"/>
      <c r="AO45" s="384"/>
      <c r="AP45" s="384"/>
      <c r="AQ45" s="384"/>
      <c r="AR45" s="384"/>
      <c r="AS45" s="384"/>
      <c r="AT45" s="384"/>
      <c r="AU45" s="384"/>
      <c r="AV45" s="384"/>
      <c r="AW45" s="384"/>
      <c r="AX45" s="384"/>
      <c r="AY45" s="384"/>
      <c r="AZ45" s="384"/>
      <c r="BA45" s="384"/>
      <c r="BB45" s="384"/>
      <c r="BC45" s="384"/>
      <c r="BD45" s="384"/>
      <c r="BE45" s="384"/>
      <c r="BF45" s="384"/>
      <c r="BG45" s="384"/>
      <c r="BH45" s="384"/>
      <c r="BI45" s="384"/>
      <c r="BJ45" s="384"/>
      <c r="BK45" s="384"/>
      <c r="BL45" s="384"/>
      <c r="BM45" s="384"/>
      <c r="BN45" s="384"/>
      <c r="BO45" s="384"/>
      <c r="BP45" s="384"/>
      <c r="BQ45" s="384"/>
      <c r="BR45" s="384" t="n">
        <f aca="false">SUM(BR4:BR43)</f>
        <v>4936.5</v>
      </c>
      <c r="BS45" s="384" t="n">
        <f aca="false">SUM(BS4:BS43)</f>
        <v>2562</v>
      </c>
      <c r="CA45" s="385"/>
      <c r="CB45" s="385"/>
      <c r="CC45" s="385"/>
      <c r="CD45" s="385"/>
      <c r="CE45" s="385"/>
      <c r="CF45" s="385"/>
      <c r="CG45" s="385"/>
      <c r="CH45" s="385"/>
      <c r="CI45" s="385"/>
      <c r="CJ45" s="385"/>
      <c r="CK45" s="385"/>
      <c r="CL45" s="385"/>
      <c r="CM45" s="385"/>
      <c r="CN45" s="385"/>
      <c r="CO45" s="385"/>
      <c r="CP45" s="385"/>
      <c r="CQ45" s="385"/>
      <c r="CR45" s="385"/>
      <c r="CS45" s="385"/>
      <c r="CT45" s="385"/>
      <c r="CU45" s="385"/>
      <c r="CV45" s="385"/>
      <c r="CW45" s="385"/>
      <c r="CX45" s="385"/>
      <c r="CY45" s="385"/>
      <c r="CZ45" s="385"/>
      <c r="DA45" s="385"/>
      <c r="DB45" s="385"/>
      <c r="DC45" s="385"/>
      <c r="DD45" s="385"/>
      <c r="DE45" s="385"/>
      <c r="DF45" s="385"/>
      <c r="DG45" s="385"/>
      <c r="DH45" s="385"/>
      <c r="DI45" s="385"/>
      <c r="DJ45" s="385"/>
      <c r="DK45" s="385"/>
      <c r="DL45" s="385"/>
      <c r="DM45" s="385"/>
      <c r="DN45" s="385"/>
      <c r="DO45" s="385"/>
      <c r="DP45" s="385"/>
      <c r="DQ45" s="385"/>
      <c r="DR45" s="385"/>
      <c r="DS45" s="385"/>
      <c r="DT45" s="385"/>
      <c r="DU45" s="385"/>
      <c r="DV45" s="385"/>
      <c r="DW45" s="385"/>
      <c r="DX45" s="385"/>
      <c r="DY45" s="385"/>
      <c r="DZ45" s="385"/>
      <c r="EA45" s="385"/>
      <c r="EB45" s="385"/>
      <c r="EC45" s="385"/>
      <c r="ED45" s="385"/>
      <c r="EE45" s="385"/>
      <c r="EF45" s="385"/>
      <c r="EG45" s="385"/>
      <c r="EH45" s="385"/>
      <c r="EI45" s="385"/>
      <c r="EJ45" s="385"/>
      <c r="EK45" s="385"/>
      <c r="EL45" s="385"/>
      <c r="EM45" s="385"/>
      <c r="EN45" s="385"/>
      <c r="EO45" s="385"/>
      <c r="EP45" s="385"/>
      <c r="EQ45" s="385"/>
      <c r="ER45" s="385"/>
      <c r="ES45" s="385"/>
      <c r="ET45" s="385"/>
      <c r="EU45" s="385"/>
      <c r="EV45" s="385"/>
      <c r="EW45" s="385"/>
      <c r="EX45" s="385"/>
      <c r="EY45" s="385"/>
      <c r="EZ45" s="385"/>
      <c r="FA45" s="385"/>
      <c r="FB45" s="385"/>
      <c r="FC45" s="385"/>
      <c r="FD45" s="385"/>
      <c r="FE45" s="385"/>
      <c r="FF45" s="385"/>
      <c r="FG45" s="385"/>
      <c r="FH45" s="385"/>
      <c r="FI45" s="385"/>
      <c r="FJ45" s="385"/>
      <c r="FK45" s="385"/>
      <c r="FL45" s="385"/>
      <c r="FM45" s="385"/>
      <c r="FN45" s="385"/>
      <c r="FO45" s="385"/>
      <c r="FP45" s="385"/>
      <c r="FQ45" s="385"/>
      <c r="FR45" s="385"/>
      <c r="FS45" s="385"/>
      <c r="FT45" s="385"/>
      <c r="FU45" s="385"/>
      <c r="FV45" s="385"/>
      <c r="FW45" s="385"/>
      <c r="FX45" s="385"/>
      <c r="FY45" s="385"/>
      <c r="FZ45" s="385"/>
      <c r="GA45" s="385"/>
      <c r="GB45" s="385"/>
      <c r="GC45" s="385"/>
      <c r="GD45" s="385"/>
      <c r="GE45" s="385"/>
      <c r="GF45" s="385"/>
      <c r="GG45" s="385"/>
      <c r="GH45" s="385"/>
      <c r="GI45" s="385"/>
      <c r="GJ45" s="385"/>
      <c r="GK45" s="385"/>
      <c r="GL45" s="385"/>
      <c r="GM45" s="385"/>
      <c r="GN45" s="385"/>
      <c r="GO45" s="385"/>
      <c r="GP45" s="385"/>
      <c r="GQ45" s="385"/>
      <c r="GR45" s="385"/>
      <c r="GS45" s="385"/>
      <c r="GT45" s="385"/>
      <c r="GU45" s="385"/>
      <c r="GV45" s="385"/>
      <c r="GW45" s="385"/>
      <c r="GX45" s="385"/>
      <c r="GY45" s="385"/>
      <c r="GZ45" s="385"/>
      <c r="HA45" s="385"/>
      <c r="HB45" s="385"/>
      <c r="HC45" s="385"/>
      <c r="HD45" s="385"/>
      <c r="HE45" s="385"/>
      <c r="HF45" s="385"/>
      <c r="HG45" s="385"/>
      <c r="HH45" s="385"/>
      <c r="HI45" s="385"/>
      <c r="HJ45" s="385"/>
      <c r="HK45" s="385"/>
      <c r="HL45" s="385"/>
      <c r="HM45" s="385"/>
      <c r="HN45" s="385"/>
      <c r="HO45" s="385"/>
      <c r="HP45" s="385"/>
      <c r="HQ45" s="385"/>
      <c r="HR45" s="385"/>
      <c r="HS45" s="385"/>
      <c r="HT45" s="385"/>
      <c r="HU45" s="385"/>
      <c r="HV45" s="385"/>
      <c r="HW45" s="385"/>
      <c r="HX45" s="385"/>
      <c r="HY45" s="385"/>
      <c r="HZ45" s="385"/>
      <c r="IA45" s="385"/>
      <c r="IB45" s="385"/>
      <c r="IC45" s="385"/>
      <c r="ID45" s="385"/>
      <c r="IE45" s="385"/>
      <c r="IF45" s="385"/>
      <c r="IG45" s="385"/>
      <c r="IH45" s="385"/>
      <c r="II45" s="385"/>
      <c r="IJ45" s="385"/>
      <c r="IK45" s="385"/>
      <c r="IL45" s="385"/>
      <c r="IM45" s="385"/>
      <c r="IN45" s="385"/>
      <c r="IO45" s="385"/>
      <c r="IP45" s="385"/>
      <c r="IQ45" s="385"/>
      <c r="IR45" s="385"/>
      <c r="IS45" s="385"/>
      <c r="IT45" s="385"/>
      <c r="IU45" s="385"/>
      <c r="IV45" s="385"/>
      <c r="IW45" s="385"/>
    </row>
    <row r="46" customFormat="false" ht="41.4" hidden="false" customHeight="true" outlineLevel="0" collapsed="false">
      <c r="A46" s="386" t="s">
        <v>573</v>
      </c>
      <c r="B46" s="387" t="n">
        <f aca="false">SUM(B4:B43)</f>
        <v>299</v>
      </c>
      <c r="C46" s="386" t="n">
        <f aca="false">SUM(C4:C43)</f>
        <v>84.5</v>
      </c>
      <c r="D46" s="387" t="n">
        <f aca="false">SUM(D4:D43)</f>
        <v>383.5</v>
      </c>
      <c r="E46" s="386" t="n">
        <f aca="false">SUM(E4:E43)</f>
        <v>112.5</v>
      </c>
      <c r="F46" s="386" t="n">
        <f aca="false">SUM(F4:F43)</f>
        <v>137.5</v>
      </c>
      <c r="G46" s="386" t="n">
        <f aca="false">SUM(G4:G43)</f>
        <v>19.5</v>
      </c>
      <c r="H46" s="386" t="n">
        <f aca="false">SUM(H4:H43)</f>
        <v>62</v>
      </c>
      <c r="I46" s="386" t="n">
        <f aca="false">SUM(I4:I43)</f>
        <v>29</v>
      </c>
      <c r="J46" s="386" t="n">
        <f aca="false">SUM(J4:J43)</f>
        <v>33</v>
      </c>
      <c r="K46" s="387" t="n">
        <f aca="false">SUM(K4:K43)</f>
        <v>411.5</v>
      </c>
      <c r="L46" s="386" t="n">
        <f aca="false">SUM(L4:L43)</f>
        <v>37</v>
      </c>
      <c r="M46" s="386" t="n">
        <f aca="false">SUM(M4:M43)</f>
        <v>36</v>
      </c>
      <c r="N46" s="386" t="n">
        <f aca="false">SUM(N4:N43)</f>
        <v>57</v>
      </c>
      <c r="O46" s="386" t="n">
        <f aca="false">SUM(O4:O43)</f>
        <v>74.5</v>
      </c>
      <c r="P46" s="386" t="n">
        <f aca="false">SUM(P4:P43)</f>
        <v>20</v>
      </c>
      <c r="Q46" s="386" t="n">
        <f aca="false">SUM(Q4:Q43)</f>
        <v>10</v>
      </c>
      <c r="R46" s="386" t="n">
        <f aca="false">SUM(R4:R43)</f>
        <v>53</v>
      </c>
      <c r="S46" s="387" t="n">
        <f aca="false">SUM(S4:S43)</f>
        <v>250.5</v>
      </c>
      <c r="T46" s="386" t="n">
        <f aca="false">SUM(T4:T43)</f>
        <v>10</v>
      </c>
      <c r="U46" s="386" t="n">
        <f aca="false">SUM(U4:U43)</f>
        <v>30</v>
      </c>
      <c r="V46" s="386" t="n">
        <f aca="false">SUM(V4:V43)</f>
        <v>28</v>
      </c>
      <c r="W46" s="386" t="n">
        <f aca="false">SUM(W4:W43)</f>
        <v>47</v>
      </c>
      <c r="X46" s="386" t="n">
        <f aca="false">SUM(X4:X43)</f>
        <v>20</v>
      </c>
      <c r="Y46" s="386" t="n">
        <f aca="false">SUM(Y4:Y43)</f>
        <v>9</v>
      </c>
      <c r="Z46" s="386" t="n">
        <f aca="false">SUM(Z4:Z43)</f>
        <v>8</v>
      </c>
      <c r="AA46" s="386" t="n">
        <f aca="false">SUM(AA4:AA43)</f>
        <v>29</v>
      </c>
      <c r="AB46" s="386" t="n">
        <f aca="false">SUM(AB4:AB43)</f>
        <v>70.5</v>
      </c>
      <c r="AC46" s="386" t="n">
        <f aca="false">SUM(AC4:AC43)</f>
        <v>150</v>
      </c>
      <c r="AD46" s="387" t="n">
        <f aca="false">SUM(AD4:AD43)</f>
        <v>401.5</v>
      </c>
      <c r="AE46" s="386" t="n">
        <f aca="false">SUM(AE4:AE43)</f>
        <v>57</v>
      </c>
      <c r="AF46" s="386" t="n">
        <f aca="false">SUM(AF4:AF43)</f>
        <v>300.5</v>
      </c>
      <c r="AG46" s="386" t="n">
        <f aca="false">SUM(AG4:AG43)</f>
        <v>70</v>
      </c>
      <c r="AH46" s="386" t="n">
        <f aca="false">SUM(AH4:AH43)</f>
        <v>239</v>
      </c>
      <c r="AI46" s="386" t="n">
        <f aca="false">SUM(AI4:AI43)</f>
        <v>120.5</v>
      </c>
      <c r="AJ46" s="386" t="n">
        <f aca="false">SUM(AJ4:AJ43)</f>
        <v>59</v>
      </c>
      <c r="AK46" s="386" t="n">
        <f aca="false">SUM(AK4:AK43)</f>
        <v>72</v>
      </c>
      <c r="AL46" s="386" t="n">
        <f aca="false">SUM(AL4:AL43)</f>
        <v>67.5</v>
      </c>
      <c r="AM46" s="386" t="n">
        <f aca="false">SUM(AM4:AM43)</f>
        <v>82</v>
      </c>
      <c r="AN46" s="386" t="n">
        <f aca="false">SUM(AN4:AN43)</f>
        <v>64.5</v>
      </c>
      <c r="AO46" s="386" t="n">
        <f aca="false">SUM(AO4:AO43)</f>
        <v>9</v>
      </c>
      <c r="AP46" s="386" t="n">
        <f aca="false">SUM(AP4:AP43)</f>
        <v>13</v>
      </c>
      <c r="AQ46" s="386" t="n">
        <f aca="false">SUM(AQ4:AQ43)</f>
        <v>272</v>
      </c>
      <c r="AR46" s="386" t="n">
        <f aca="false">SUM(AR4:AR43)</f>
        <v>285.5</v>
      </c>
      <c r="AS46" s="386" t="n">
        <f aca="false">SUM(AS4:AS43)</f>
        <v>339</v>
      </c>
      <c r="AT46" s="386" t="n">
        <f aca="false">SUM(AT4:AT43)</f>
        <v>153.5</v>
      </c>
      <c r="AU46" s="387" t="n">
        <f aca="false">SUM(AU4:AU43)</f>
        <v>2204</v>
      </c>
      <c r="AV46" s="386" t="n">
        <f aca="false">SUM(AV4:AV43)</f>
        <v>232.5</v>
      </c>
      <c r="AW46" s="386" t="n">
        <f aca="false">SUM(AW4:AW43)</f>
        <v>16.5</v>
      </c>
      <c r="AX46" s="387" t="n">
        <f aca="false">SUM(AX4:AX43)</f>
        <v>249</v>
      </c>
      <c r="AY46" s="386" t="n">
        <f aca="false">SUM(AY4:AY43)</f>
        <v>59</v>
      </c>
      <c r="AZ46" s="386" t="n">
        <f aca="false">SUM(AZ4:AZ43)</f>
        <v>72.5</v>
      </c>
      <c r="BA46" s="386" t="n">
        <f aca="false">SUM(BA4:BA43)</f>
        <v>134</v>
      </c>
      <c r="BB46" s="386" t="n">
        <f aca="false">SUM(BB4:BB43)</f>
        <v>308</v>
      </c>
      <c r="BC46" s="386" t="n">
        <f aca="false">SUM(BC4:BC43)</f>
        <v>231</v>
      </c>
      <c r="BD46" s="387" t="n">
        <f aca="false">SUM(BD4:BD43)</f>
        <v>804.5</v>
      </c>
      <c r="BE46" s="386" t="n">
        <f aca="false">SUM(BE4:BE43)</f>
        <v>48.5</v>
      </c>
      <c r="BF46" s="386" t="n">
        <f aca="false">SUM(BF4:BF43)</f>
        <v>40</v>
      </c>
      <c r="BG46" s="386" t="n">
        <f aca="false">SUM(BG4:BG43)</f>
        <v>42.5</v>
      </c>
      <c r="BH46" s="388" t="n">
        <f aca="false">SUM(BH4:BH43)</f>
        <v>131</v>
      </c>
      <c r="BI46" s="388" t="n">
        <f aca="false">SUM(BI4:BI43)</f>
        <v>44</v>
      </c>
      <c r="BJ46" s="389" t="n">
        <f aca="false">SUM(BJ4:BJ43)</f>
        <v>39</v>
      </c>
      <c r="BK46" s="389" t="n">
        <f aca="false">SUM(BK4:BK43)</f>
        <v>0</v>
      </c>
      <c r="BL46" s="388" t="n">
        <f aca="false">SUM(BL4:BL43)</f>
        <v>39</v>
      </c>
      <c r="BM46" s="386" t="n">
        <f aca="false">SUM(BM4:BM43)</f>
        <v>5</v>
      </c>
      <c r="BN46" s="386" t="n">
        <f aca="false">SUM(BN4:BN43)</f>
        <v>0</v>
      </c>
      <c r="BO46" s="386" t="n">
        <f aca="false">SUM(BO4:BO43)</f>
        <v>6</v>
      </c>
      <c r="BP46" s="387" t="n">
        <f aca="false">SUM(BP4:BP43)</f>
        <v>11</v>
      </c>
      <c r="BQ46" s="387" t="n">
        <f aca="false">SUM(BQ4:BQ43)</f>
        <v>7</v>
      </c>
      <c r="BR46" s="390" t="n">
        <f aca="false">+D46+K46+S46+AD46+AU46+AX46+BD46+BH46+BI46+BL46+BP46+BQ46</f>
        <v>4936.5</v>
      </c>
      <c r="BS46" s="391" t="n">
        <f aca="false">+BS45+BH46+BI46+BL46-BR49=BR46</f>
        <v>1</v>
      </c>
      <c r="CA46" s="387"/>
      <c r="CB46" s="387"/>
      <c r="CC46" s="387"/>
      <c r="CD46" s="387"/>
      <c r="CE46" s="387"/>
      <c r="CF46" s="387"/>
      <c r="CG46" s="387"/>
      <c r="CH46" s="387"/>
      <c r="CI46" s="387"/>
      <c r="CJ46" s="387"/>
      <c r="CK46" s="387"/>
      <c r="CL46" s="387"/>
      <c r="CM46" s="387"/>
      <c r="CN46" s="387"/>
      <c r="CO46" s="387"/>
      <c r="CP46" s="387"/>
      <c r="CQ46" s="387"/>
      <c r="CR46" s="387"/>
      <c r="CS46" s="387"/>
      <c r="CT46" s="387"/>
      <c r="CU46" s="387"/>
      <c r="CV46" s="387"/>
      <c r="CW46" s="387"/>
      <c r="CX46" s="387"/>
      <c r="CY46" s="387"/>
      <c r="CZ46" s="387"/>
      <c r="DA46" s="387"/>
      <c r="DB46" s="387"/>
      <c r="DC46" s="387"/>
      <c r="DD46" s="387"/>
      <c r="DE46" s="387"/>
      <c r="DF46" s="387"/>
      <c r="DG46" s="387"/>
      <c r="DH46" s="387"/>
      <c r="DI46" s="387"/>
      <c r="DJ46" s="387"/>
      <c r="DK46" s="387"/>
      <c r="DL46" s="387"/>
      <c r="DM46" s="387"/>
      <c r="DN46" s="387"/>
      <c r="DO46" s="387"/>
      <c r="DP46" s="387"/>
      <c r="DQ46" s="387"/>
      <c r="DR46" s="387"/>
      <c r="DS46" s="387"/>
      <c r="DT46" s="387"/>
      <c r="DU46" s="387"/>
      <c r="DV46" s="387"/>
      <c r="DW46" s="387"/>
      <c r="DX46" s="387"/>
      <c r="DY46" s="387"/>
      <c r="DZ46" s="387"/>
      <c r="EA46" s="387"/>
      <c r="EB46" s="387"/>
      <c r="EC46" s="387"/>
      <c r="ED46" s="387"/>
      <c r="EE46" s="387"/>
      <c r="EF46" s="387"/>
      <c r="EG46" s="387"/>
      <c r="EH46" s="387"/>
      <c r="EI46" s="387"/>
      <c r="EJ46" s="387"/>
      <c r="EK46" s="387"/>
      <c r="EL46" s="387"/>
      <c r="EM46" s="387"/>
      <c r="EN46" s="387"/>
      <c r="EO46" s="387"/>
      <c r="EP46" s="387"/>
      <c r="EQ46" s="387"/>
      <c r="ER46" s="387"/>
      <c r="ES46" s="387"/>
      <c r="ET46" s="387"/>
      <c r="EU46" s="387"/>
      <c r="EV46" s="387"/>
      <c r="EW46" s="387"/>
      <c r="EX46" s="387"/>
      <c r="EY46" s="387"/>
      <c r="EZ46" s="387"/>
      <c r="FA46" s="387"/>
      <c r="FB46" s="387"/>
      <c r="FC46" s="387"/>
      <c r="FD46" s="387"/>
      <c r="FE46" s="387"/>
      <c r="FF46" s="387"/>
      <c r="FG46" s="387"/>
      <c r="FH46" s="387"/>
      <c r="FI46" s="387"/>
      <c r="FJ46" s="387"/>
      <c r="FK46" s="387"/>
      <c r="FL46" s="387"/>
      <c r="FM46" s="387"/>
      <c r="FN46" s="387"/>
      <c r="FO46" s="387"/>
      <c r="FP46" s="387"/>
      <c r="FQ46" s="387"/>
      <c r="FR46" s="387"/>
      <c r="FS46" s="387"/>
      <c r="FT46" s="387"/>
      <c r="FU46" s="387"/>
      <c r="FV46" s="387"/>
      <c r="FW46" s="387"/>
      <c r="FX46" s="387"/>
      <c r="FY46" s="387"/>
      <c r="FZ46" s="387"/>
      <c r="GA46" s="387"/>
      <c r="GB46" s="387"/>
      <c r="GC46" s="387"/>
      <c r="GD46" s="387"/>
      <c r="GE46" s="387"/>
      <c r="GF46" s="387"/>
      <c r="GG46" s="387"/>
      <c r="GH46" s="387"/>
      <c r="GI46" s="387"/>
      <c r="GJ46" s="387"/>
      <c r="GK46" s="387"/>
      <c r="GL46" s="387"/>
      <c r="GM46" s="387"/>
      <c r="GN46" s="387"/>
      <c r="GO46" s="387"/>
      <c r="GP46" s="387"/>
      <c r="GQ46" s="387"/>
      <c r="GR46" s="387"/>
      <c r="GS46" s="387"/>
      <c r="GT46" s="387"/>
      <c r="GU46" s="387"/>
      <c r="GV46" s="387"/>
      <c r="GW46" s="387"/>
      <c r="GX46" s="387"/>
      <c r="GY46" s="387"/>
      <c r="GZ46" s="387"/>
      <c r="HA46" s="387"/>
      <c r="HB46" s="387"/>
      <c r="HC46" s="387"/>
      <c r="HD46" s="387"/>
      <c r="HE46" s="387"/>
      <c r="HF46" s="387"/>
      <c r="HG46" s="387"/>
      <c r="HH46" s="387"/>
      <c r="HI46" s="387"/>
      <c r="HJ46" s="387"/>
      <c r="HK46" s="387"/>
      <c r="HL46" s="387"/>
      <c r="HM46" s="387"/>
      <c r="HN46" s="387"/>
      <c r="HO46" s="387"/>
      <c r="HP46" s="387"/>
      <c r="HQ46" s="387"/>
      <c r="HR46" s="387"/>
      <c r="HS46" s="387"/>
      <c r="HT46" s="387"/>
      <c r="HU46" s="387"/>
      <c r="HV46" s="387"/>
      <c r="HW46" s="387"/>
      <c r="HX46" s="387"/>
      <c r="HY46" s="387"/>
      <c r="HZ46" s="387"/>
      <c r="IA46" s="387"/>
      <c r="IB46" s="387"/>
      <c r="IC46" s="387"/>
      <c r="ID46" s="387"/>
      <c r="IE46" s="387"/>
      <c r="IF46" s="387"/>
      <c r="IG46" s="387"/>
      <c r="IH46" s="387"/>
      <c r="II46" s="387"/>
      <c r="IJ46" s="387"/>
      <c r="IK46" s="387"/>
      <c r="IL46" s="387"/>
      <c r="IM46" s="387"/>
      <c r="IN46" s="387"/>
      <c r="IO46" s="387"/>
      <c r="IP46" s="387"/>
      <c r="IQ46" s="387"/>
      <c r="IR46" s="387"/>
      <c r="IS46" s="387"/>
      <c r="IT46" s="387"/>
      <c r="IU46" s="387"/>
      <c r="IV46" s="387"/>
      <c r="IW46" s="387"/>
    </row>
    <row r="47" customFormat="false" ht="17.4" hidden="false" customHeight="true" outlineLevel="0" collapsed="false">
      <c r="A47" s="386"/>
      <c r="B47" s="387"/>
      <c r="C47" s="386"/>
      <c r="D47" s="387"/>
      <c r="E47" s="386"/>
      <c r="F47" s="386"/>
      <c r="G47" s="386"/>
      <c r="H47" s="386"/>
      <c r="I47" s="386"/>
      <c r="J47" s="386"/>
      <c r="K47" s="387"/>
      <c r="L47" s="386"/>
      <c r="M47" s="386"/>
      <c r="N47" s="386"/>
      <c r="O47" s="386"/>
      <c r="P47" s="386"/>
      <c r="Q47" s="386"/>
      <c r="R47" s="386"/>
      <c r="S47" s="387"/>
      <c r="T47" s="386"/>
      <c r="U47" s="386"/>
      <c r="V47" s="386"/>
      <c r="W47" s="386"/>
      <c r="X47" s="386"/>
      <c r="Y47" s="386"/>
      <c r="Z47" s="386"/>
      <c r="AA47" s="386"/>
      <c r="AB47" s="386"/>
      <c r="AC47" s="386"/>
      <c r="AD47" s="387"/>
      <c r="AE47" s="386"/>
      <c r="AF47" s="386"/>
      <c r="AG47" s="386"/>
      <c r="AH47" s="386"/>
      <c r="AI47" s="386"/>
      <c r="AJ47" s="386"/>
      <c r="AK47" s="386"/>
      <c r="AL47" s="386"/>
      <c r="AM47" s="386"/>
      <c r="AN47" s="386"/>
      <c r="AO47" s="386"/>
      <c r="AP47" s="386"/>
      <c r="AQ47" s="386"/>
      <c r="AR47" s="386"/>
      <c r="AS47" s="386"/>
      <c r="AT47" s="386"/>
      <c r="AU47" s="387"/>
      <c r="AV47" s="386"/>
      <c r="AW47" s="386"/>
      <c r="AX47" s="387"/>
      <c r="AY47" s="386"/>
      <c r="AZ47" s="386"/>
      <c r="BA47" s="386"/>
      <c r="BB47" s="386"/>
      <c r="BC47" s="386"/>
      <c r="BD47" s="387"/>
      <c r="BE47" s="386"/>
      <c r="BF47" s="386"/>
      <c r="BG47" s="386"/>
      <c r="BH47" s="388"/>
      <c r="BI47" s="388"/>
      <c r="BJ47" s="389"/>
      <c r="BK47" s="389"/>
      <c r="BL47" s="388"/>
      <c r="BM47" s="386"/>
      <c r="BN47" s="386"/>
      <c r="BO47" s="386"/>
      <c r="BP47" s="387"/>
      <c r="BQ47" s="387"/>
      <c r="BR47" s="392" t="s">
        <v>664</v>
      </c>
      <c r="BS47" s="393" t="n">
        <f aca="false">SUM(BS33:BS43)+SUM(BS4:BS13)</f>
        <v>1478.5</v>
      </c>
      <c r="CA47" s="387"/>
      <c r="CB47" s="387"/>
      <c r="CC47" s="387"/>
      <c r="CD47" s="387"/>
      <c r="CE47" s="387"/>
      <c r="CF47" s="387"/>
      <c r="CG47" s="387"/>
      <c r="CH47" s="387"/>
      <c r="CI47" s="387"/>
      <c r="CJ47" s="387"/>
      <c r="CK47" s="387"/>
      <c r="CL47" s="387"/>
      <c r="CM47" s="387"/>
      <c r="CN47" s="387"/>
      <c r="CO47" s="387"/>
      <c r="CP47" s="387"/>
      <c r="CQ47" s="387"/>
      <c r="CR47" s="387"/>
      <c r="CS47" s="387"/>
      <c r="CT47" s="387"/>
      <c r="CU47" s="387"/>
      <c r="CV47" s="387"/>
      <c r="CW47" s="387"/>
      <c r="CX47" s="387"/>
      <c r="CY47" s="387"/>
      <c r="CZ47" s="387"/>
      <c r="DA47" s="387"/>
      <c r="DB47" s="387"/>
      <c r="DC47" s="387"/>
      <c r="DD47" s="387"/>
      <c r="DE47" s="387"/>
      <c r="DF47" s="387"/>
      <c r="DG47" s="387"/>
      <c r="DH47" s="387"/>
      <c r="DI47" s="387"/>
      <c r="DJ47" s="387"/>
      <c r="DK47" s="387"/>
      <c r="DL47" s="387"/>
      <c r="DM47" s="387"/>
      <c r="DN47" s="387"/>
      <c r="DO47" s="387"/>
      <c r="DP47" s="387"/>
      <c r="DQ47" s="387"/>
      <c r="DR47" s="387"/>
      <c r="DS47" s="387"/>
      <c r="DT47" s="387"/>
      <c r="DU47" s="387"/>
      <c r="DV47" s="387"/>
      <c r="DW47" s="387"/>
      <c r="DX47" s="387"/>
      <c r="DY47" s="387"/>
      <c r="DZ47" s="387"/>
      <c r="EA47" s="387"/>
      <c r="EB47" s="387"/>
      <c r="EC47" s="387"/>
      <c r="ED47" s="387"/>
      <c r="EE47" s="387"/>
      <c r="EF47" s="387"/>
      <c r="EG47" s="387"/>
      <c r="EH47" s="387"/>
      <c r="EI47" s="387"/>
      <c r="EJ47" s="387"/>
      <c r="EK47" s="387"/>
      <c r="EL47" s="387"/>
      <c r="EM47" s="387"/>
      <c r="EN47" s="387"/>
      <c r="EO47" s="387"/>
      <c r="EP47" s="387"/>
      <c r="EQ47" s="387"/>
      <c r="ER47" s="387"/>
      <c r="ES47" s="387"/>
      <c r="ET47" s="387"/>
      <c r="EU47" s="387"/>
      <c r="EV47" s="387"/>
      <c r="EW47" s="387"/>
      <c r="EX47" s="387"/>
      <c r="EY47" s="387"/>
      <c r="EZ47" s="387"/>
      <c r="FA47" s="387"/>
      <c r="FB47" s="387"/>
      <c r="FC47" s="387"/>
      <c r="FD47" s="387"/>
      <c r="FE47" s="387"/>
      <c r="FF47" s="387"/>
      <c r="FG47" s="387"/>
      <c r="FH47" s="387"/>
      <c r="FI47" s="387"/>
      <c r="FJ47" s="387"/>
      <c r="FK47" s="387"/>
      <c r="FL47" s="387"/>
      <c r="FM47" s="387"/>
      <c r="FN47" s="387"/>
      <c r="FO47" s="387"/>
      <c r="FP47" s="387"/>
      <c r="FQ47" s="387"/>
      <c r="FR47" s="387"/>
      <c r="FS47" s="387"/>
      <c r="FT47" s="387"/>
      <c r="FU47" s="387"/>
      <c r="FV47" s="387"/>
      <c r="FW47" s="387"/>
      <c r="FX47" s="387"/>
      <c r="FY47" s="387"/>
      <c r="FZ47" s="387"/>
      <c r="GA47" s="387"/>
      <c r="GB47" s="387"/>
      <c r="GC47" s="387"/>
      <c r="GD47" s="387"/>
      <c r="GE47" s="387"/>
      <c r="GF47" s="387"/>
      <c r="GG47" s="387"/>
      <c r="GH47" s="387"/>
      <c r="GI47" s="387"/>
      <c r="GJ47" s="387"/>
      <c r="GK47" s="387"/>
      <c r="GL47" s="387"/>
      <c r="GM47" s="387"/>
      <c r="GN47" s="387"/>
      <c r="GO47" s="387"/>
      <c r="GP47" s="387"/>
      <c r="GQ47" s="387"/>
      <c r="GR47" s="387"/>
      <c r="GS47" s="387"/>
      <c r="GT47" s="387"/>
      <c r="GU47" s="387"/>
      <c r="GV47" s="387"/>
      <c r="GW47" s="387"/>
      <c r="GX47" s="387"/>
      <c r="GY47" s="387"/>
      <c r="GZ47" s="387"/>
      <c r="HA47" s="387"/>
      <c r="HB47" s="387"/>
      <c r="HC47" s="387"/>
      <c r="HD47" s="387"/>
      <c r="HE47" s="387"/>
      <c r="HF47" s="387"/>
      <c r="HG47" s="387"/>
      <c r="HH47" s="387"/>
      <c r="HI47" s="387"/>
      <c r="HJ47" s="387"/>
      <c r="HK47" s="387"/>
      <c r="HL47" s="387"/>
      <c r="HM47" s="387"/>
      <c r="HN47" s="387"/>
      <c r="HO47" s="387"/>
      <c r="HP47" s="387"/>
      <c r="HQ47" s="387"/>
      <c r="HR47" s="387"/>
      <c r="HS47" s="387"/>
      <c r="HT47" s="387"/>
      <c r="HU47" s="387"/>
      <c r="HV47" s="387"/>
      <c r="HW47" s="387"/>
      <c r="HX47" s="387"/>
      <c r="HY47" s="387"/>
      <c r="HZ47" s="387"/>
      <c r="IA47" s="387"/>
      <c r="IB47" s="387"/>
      <c r="IC47" s="387"/>
      <c r="ID47" s="387"/>
      <c r="IE47" s="387"/>
      <c r="IF47" s="387"/>
      <c r="IG47" s="387"/>
      <c r="IH47" s="387"/>
      <c r="II47" s="387"/>
      <c r="IJ47" s="387"/>
      <c r="IK47" s="387"/>
      <c r="IL47" s="387"/>
      <c r="IM47" s="387"/>
      <c r="IN47" s="387"/>
      <c r="IO47" s="387"/>
      <c r="IP47" s="387"/>
      <c r="IQ47" s="387"/>
      <c r="IR47" s="387"/>
      <c r="IS47" s="387"/>
      <c r="IT47" s="387"/>
      <c r="IU47" s="387"/>
      <c r="IV47" s="387"/>
      <c r="IW47" s="387"/>
    </row>
    <row r="48" customFormat="false" ht="27" hidden="false" customHeight="true" outlineLevel="0" collapsed="false">
      <c r="A48" s="394" t="s">
        <v>665</v>
      </c>
      <c r="B48" s="386"/>
      <c r="C48" s="386"/>
      <c r="D48" s="386" t="n">
        <f aca="false">+D46/40</f>
        <v>9.5875</v>
      </c>
      <c r="E48" s="386"/>
      <c r="F48" s="386"/>
      <c r="G48" s="386"/>
      <c r="H48" s="386"/>
      <c r="I48" s="386"/>
      <c r="J48" s="386"/>
      <c r="K48" s="386" t="n">
        <f aca="false">+K46/40</f>
        <v>10.2875</v>
      </c>
      <c r="L48" s="386"/>
      <c r="M48" s="386"/>
      <c r="N48" s="386"/>
      <c r="O48" s="386"/>
      <c r="P48" s="386"/>
      <c r="Q48" s="386"/>
      <c r="R48" s="386"/>
      <c r="S48" s="386" t="n">
        <f aca="false">+S46/40</f>
        <v>6.2625</v>
      </c>
      <c r="T48" s="386"/>
      <c r="U48" s="386"/>
      <c r="V48" s="386"/>
      <c r="W48" s="386"/>
      <c r="X48" s="386"/>
      <c r="Y48" s="386"/>
      <c r="Z48" s="386"/>
      <c r="AA48" s="386"/>
      <c r="AB48" s="386"/>
      <c r="AC48" s="386"/>
      <c r="AD48" s="386" t="n">
        <f aca="false">+AD46/40</f>
        <v>10.0375</v>
      </c>
      <c r="AE48" s="386"/>
      <c r="AF48" s="386"/>
      <c r="AG48" s="386"/>
      <c r="AH48" s="386"/>
      <c r="AI48" s="386"/>
      <c r="AJ48" s="386"/>
      <c r="AK48" s="386"/>
      <c r="AL48" s="386"/>
      <c r="AM48" s="386"/>
      <c r="AN48" s="386"/>
      <c r="AO48" s="386"/>
      <c r="AP48" s="386"/>
      <c r="AQ48" s="386"/>
      <c r="AR48" s="386"/>
      <c r="AS48" s="386"/>
      <c r="AT48" s="386"/>
      <c r="AU48" s="386" t="n">
        <f aca="false">+AU46/40</f>
        <v>55.1</v>
      </c>
      <c r="AV48" s="386"/>
      <c r="AW48" s="386"/>
      <c r="AX48" s="386" t="n">
        <f aca="false">+AX46/40</f>
        <v>6.225</v>
      </c>
      <c r="AY48" s="386"/>
      <c r="AZ48" s="386"/>
      <c r="BA48" s="386"/>
      <c r="BB48" s="386"/>
      <c r="BC48" s="386"/>
      <c r="BD48" s="386" t="n">
        <f aca="false">+BD46/40</f>
        <v>20.1125</v>
      </c>
      <c r="BE48" s="386"/>
      <c r="BF48" s="386"/>
      <c r="BG48" s="386"/>
      <c r="BH48" s="386" t="n">
        <f aca="false">+BH46/40</f>
        <v>3.275</v>
      </c>
      <c r="BI48" s="386" t="n">
        <f aca="false">+BI46/40</f>
        <v>1.1</v>
      </c>
      <c r="BJ48" s="386"/>
      <c r="BK48" s="386"/>
      <c r="BL48" s="386" t="n">
        <f aca="false">+BL46/40</f>
        <v>0.975</v>
      </c>
      <c r="BM48" s="386"/>
      <c r="BN48" s="386"/>
      <c r="BO48" s="386"/>
      <c r="BP48" s="386" t="n">
        <f aca="false">+BP46/40</f>
        <v>0.275</v>
      </c>
      <c r="BQ48" s="386" t="n">
        <f aca="false">+BQ46/40</f>
        <v>0.175</v>
      </c>
      <c r="BR48" s="395" t="n">
        <f aca="false">+D48+K48+S48+AD48+AU48+AX48+BD48+BH48+BI48+BL48+BP48+BQ48</f>
        <v>123.4125</v>
      </c>
      <c r="CA48" s="387"/>
      <c r="CB48" s="387"/>
      <c r="CC48" s="387"/>
      <c r="CD48" s="387"/>
      <c r="CE48" s="387"/>
      <c r="CF48" s="387"/>
      <c r="CG48" s="387"/>
      <c r="CH48" s="387"/>
      <c r="CI48" s="387"/>
      <c r="CJ48" s="387"/>
      <c r="CK48" s="387"/>
      <c r="CL48" s="387"/>
      <c r="CM48" s="387"/>
      <c r="CN48" s="387"/>
      <c r="CO48" s="387"/>
      <c r="CP48" s="387"/>
      <c r="CQ48" s="387"/>
      <c r="CR48" s="387"/>
      <c r="CS48" s="387"/>
      <c r="CT48" s="387"/>
      <c r="CU48" s="387"/>
      <c r="CV48" s="387"/>
      <c r="CW48" s="387"/>
      <c r="CX48" s="387"/>
      <c r="CY48" s="387"/>
      <c r="CZ48" s="387"/>
      <c r="DA48" s="387"/>
      <c r="DB48" s="387"/>
      <c r="DC48" s="387"/>
      <c r="DD48" s="387"/>
      <c r="DE48" s="387"/>
      <c r="DF48" s="387"/>
      <c r="DG48" s="387"/>
      <c r="DH48" s="387"/>
      <c r="DI48" s="387"/>
      <c r="DJ48" s="387"/>
      <c r="DK48" s="387"/>
      <c r="DL48" s="387"/>
      <c r="DM48" s="387"/>
      <c r="DN48" s="387"/>
      <c r="DO48" s="387"/>
      <c r="DP48" s="387"/>
      <c r="DQ48" s="387"/>
      <c r="DR48" s="387"/>
      <c r="DS48" s="387"/>
      <c r="DT48" s="387"/>
      <c r="DU48" s="387"/>
      <c r="DV48" s="387"/>
      <c r="DW48" s="387"/>
      <c r="DX48" s="387"/>
      <c r="DY48" s="387"/>
      <c r="DZ48" s="387"/>
      <c r="EA48" s="387"/>
      <c r="EB48" s="387"/>
      <c r="EC48" s="387"/>
      <c r="ED48" s="387"/>
      <c r="EE48" s="387"/>
      <c r="EF48" s="387"/>
      <c r="EG48" s="387"/>
      <c r="EH48" s="387"/>
      <c r="EI48" s="387"/>
      <c r="EJ48" s="387"/>
      <c r="EK48" s="387"/>
      <c r="EL48" s="387"/>
      <c r="EM48" s="387"/>
      <c r="EN48" s="387"/>
      <c r="EO48" s="387"/>
      <c r="EP48" s="387"/>
      <c r="EQ48" s="387"/>
      <c r="ER48" s="387"/>
      <c r="ES48" s="387"/>
      <c r="ET48" s="387"/>
      <c r="EU48" s="387"/>
      <c r="EV48" s="387"/>
      <c r="EW48" s="387"/>
      <c r="EX48" s="387"/>
      <c r="EY48" s="387"/>
      <c r="EZ48" s="387"/>
      <c r="FA48" s="387"/>
      <c r="FB48" s="387"/>
      <c r="FC48" s="387"/>
      <c r="FD48" s="387"/>
      <c r="FE48" s="387"/>
      <c r="FF48" s="387"/>
      <c r="FG48" s="387"/>
      <c r="FH48" s="387"/>
      <c r="FI48" s="387"/>
      <c r="FJ48" s="387"/>
      <c r="FK48" s="387"/>
      <c r="FL48" s="387"/>
      <c r="FM48" s="387"/>
      <c r="FN48" s="387"/>
      <c r="FO48" s="387"/>
      <c r="FP48" s="387"/>
      <c r="FQ48" s="387"/>
      <c r="FR48" s="387"/>
      <c r="FS48" s="387"/>
      <c r="FT48" s="387"/>
      <c r="FU48" s="387"/>
      <c r="FV48" s="387"/>
      <c r="FW48" s="387"/>
      <c r="FX48" s="387"/>
      <c r="FY48" s="387"/>
      <c r="FZ48" s="387"/>
      <c r="GA48" s="387"/>
      <c r="GB48" s="387"/>
      <c r="GC48" s="387"/>
      <c r="GD48" s="387"/>
      <c r="GE48" s="387"/>
      <c r="GF48" s="387"/>
      <c r="GG48" s="387"/>
      <c r="GH48" s="387"/>
      <c r="GI48" s="387"/>
      <c r="GJ48" s="387"/>
      <c r="GK48" s="387"/>
      <c r="GL48" s="387"/>
      <c r="GM48" s="387"/>
      <c r="GN48" s="387"/>
      <c r="GO48" s="387"/>
      <c r="GP48" s="387"/>
      <c r="GQ48" s="387"/>
      <c r="GR48" s="387"/>
      <c r="GS48" s="387"/>
      <c r="GT48" s="387"/>
      <c r="GU48" s="387"/>
      <c r="GV48" s="387"/>
      <c r="GW48" s="387"/>
      <c r="GX48" s="387"/>
      <c r="GY48" s="387"/>
      <c r="GZ48" s="387"/>
      <c r="HA48" s="387"/>
      <c r="HB48" s="387"/>
      <c r="HC48" s="387"/>
      <c r="HD48" s="387"/>
      <c r="HE48" s="387"/>
      <c r="HF48" s="387"/>
      <c r="HG48" s="387"/>
      <c r="HH48" s="387"/>
      <c r="HI48" s="387"/>
      <c r="HJ48" s="387"/>
      <c r="HK48" s="387"/>
      <c r="HL48" s="387"/>
      <c r="HM48" s="387"/>
      <c r="HN48" s="387"/>
      <c r="HO48" s="387"/>
      <c r="HP48" s="387"/>
      <c r="HQ48" s="387"/>
      <c r="HR48" s="387"/>
      <c r="HS48" s="387"/>
      <c r="HT48" s="387"/>
      <c r="HU48" s="387"/>
      <c r="HV48" s="387"/>
      <c r="HW48" s="387"/>
      <c r="HX48" s="387"/>
      <c r="HY48" s="387"/>
      <c r="HZ48" s="387"/>
      <c r="IA48" s="387"/>
      <c r="IB48" s="387"/>
      <c r="IC48" s="387"/>
      <c r="ID48" s="387"/>
      <c r="IE48" s="387"/>
      <c r="IF48" s="387"/>
      <c r="IG48" s="387"/>
      <c r="IH48" s="387"/>
      <c r="II48" s="387"/>
      <c r="IJ48" s="387"/>
      <c r="IK48" s="387"/>
      <c r="IL48" s="387"/>
      <c r="IM48" s="387"/>
      <c r="IN48" s="387"/>
      <c r="IO48" s="387"/>
      <c r="IP48" s="387"/>
      <c r="IQ48" s="387"/>
      <c r="IR48" s="387"/>
      <c r="IS48" s="387"/>
      <c r="IT48" s="387"/>
      <c r="IU48" s="387"/>
      <c r="IV48" s="387"/>
      <c r="IW48" s="387"/>
    </row>
    <row r="49" customFormat="false" ht="48.6" hidden="false" customHeight="true" outlineLevel="0" collapsed="false">
      <c r="A49" s="396" t="s">
        <v>666</v>
      </c>
      <c r="B49" s="396"/>
      <c r="C49" s="396"/>
      <c r="D49" s="397" t="n">
        <v>0</v>
      </c>
      <c r="E49" s="397"/>
      <c r="F49" s="397"/>
      <c r="G49" s="397"/>
      <c r="H49" s="397"/>
      <c r="I49" s="397"/>
      <c r="J49" s="397"/>
      <c r="K49" s="398" t="n">
        <f aca="false">+K46*-0.5</f>
        <v>-205.75</v>
      </c>
      <c r="L49" s="397"/>
      <c r="M49" s="397"/>
      <c r="N49" s="397"/>
      <c r="O49" s="397"/>
      <c r="P49" s="397"/>
      <c r="Q49" s="397"/>
      <c r="R49" s="397"/>
      <c r="S49" s="398" t="n">
        <f aca="false">+S46*-0.5</f>
        <v>-125.25</v>
      </c>
      <c r="T49" s="397"/>
      <c r="U49" s="397"/>
      <c r="V49" s="397"/>
      <c r="W49" s="397"/>
      <c r="X49" s="397"/>
      <c r="Y49" s="397"/>
      <c r="Z49" s="397"/>
      <c r="AA49" s="397"/>
      <c r="AB49" s="397"/>
      <c r="AC49" s="397"/>
      <c r="AD49" s="398" t="n">
        <f aca="false">+AD46*-0.5</f>
        <v>-200.75</v>
      </c>
      <c r="AE49" s="397"/>
      <c r="AF49" s="397"/>
      <c r="AG49" s="397"/>
      <c r="AH49" s="397"/>
      <c r="AI49" s="397"/>
      <c r="AJ49" s="397"/>
      <c r="AK49" s="397"/>
      <c r="AL49" s="397"/>
      <c r="AM49" s="397"/>
      <c r="AN49" s="397"/>
      <c r="AO49" s="397"/>
      <c r="AP49" s="397"/>
      <c r="AQ49" s="397"/>
      <c r="AR49" s="397"/>
      <c r="AS49" s="397"/>
      <c r="AT49" s="397"/>
      <c r="AU49" s="398" t="n">
        <f aca="false">+AU46*-0.5</f>
        <v>-1102</v>
      </c>
      <c r="AV49" s="397"/>
      <c r="AW49" s="397"/>
      <c r="AX49" s="398" t="n">
        <f aca="false">+AX46*-0.5</f>
        <v>-124.5</v>
      </c>
      <c r="AY49" s="397"/>
      <c r="AZ49" s="397"/>
      <c r="BA49" s="397"/>
      <c r="BB49" s="397"/>
      <c r="BC49" s="397"/>
      <c r="BD49" s="398" t="n">
        <f aca="false">+BD46*-0.5</f>
        <v>-402.25</v>
      </c>
      <c r="BE49" s="397"/>
      <c r="BF49" s="397"/>
      <c r="BG49" s="397"/>
      <c r="BH49" s="397" t="s">
        <v>667</v>
      </c>
      <c r="BI49" s="397" t="s">
        <v>667</v>
      </c>
      <c r="BJ49" s="397"/>
      <c r="BK49" s="397"/>
      <c r="BL49" s="397" t="s">
        <v>667</v>
      </c>
      <c r="BM49" s="397"/>
      <c r="BN49" s="397"/>
      <c r="BO49" s="397"/>
      <c r="BP49" s="397" t="n">
        <v>0</v>
      </c>
      <c r="BQ49" s="397" t="n">
        <v>0</v>
      </c>
      <c r="BR49" s="399" t="n">
        <f aca="false">SUM(B49:BQ49)</f>
        <v>-2160.5</v>
      </c>
      <c r="BS49" s="400"/>
      <c r="CA49" s="397"/>
      <c r="CB49" s="397"/>
      <c r="CC49" s="397"/>
      <c r="CD49" s="397"/>
      <c r="CE49" s="397"/>
      <c r="CF49" s="397"/>
      <c r="CG49" s="397"/>
      <c r="CH49" s="397"/>
      <c r="CI49" s="397"/>
      <c r="CJ49" s="397"/>
      <c r="CK49" s="397"/>
      <c r="CL49" s="397"/>
      <c r="CM49" s="397"/>
      <c r="CN49" s="397"/>
      <c r="CO49" s="397"/>
      <c r="CP49" s="397"/>
      <c r="CQ49" s="397"/>
      <c r="CR49" s="397"/>
      <c r="CS49" s="397"/>
      <c r="CT49" s="397"/>
      <c r="CU49" s="397"/>
      <c r="CV49" s="397"/>
      <c r="CW49" s="397"/>
      <c r="CX49" s="397"/>
      <c r="CY49" s="397"/>
      <c r="CZ49" s="397"/>
      <c r="DA49" s="397"/>
      <c r="DB49" s="397"/>
      <c r="DC49" s="397"/>
      <c r="DD49" s="397"/>
      <c r="DE49" s="397"/>
      <c r="DF49" s="397"/>
      <c r="DG49" s="397"/>
      <c r="DH49" s="397"/>
      <c r="DI49" s="397"/>
      <c r="DJ49" s="397"/>
      <c r="DK49" s="397"/>
      <c r="DL49" s="397"/>
      <c r="DM49" s="397"/>
      <c r="DN49" s="397"/>
      <c r="DO49" s="397"/>
      <c r="DP49" s="397"/>
      <c r="DQ49" s="397"/>
      <c r="DR49" s="397"/>
      <c r="DS49" s="397"/>
      <c r="DT49" s="397"/>
      <c r="DU49" s="397"/>
      <c r="DV49" s="397"/>
      <c r="DW49" s="397"/>
      <c r="DX49" s="397"/>
      <c r="DY49" s="397"/>
      <c r="DZ49" s="397"/>
      <c r="EA49" s="397"/>
      <c r="EB49" s="397"/>
      <c r="EC49" s="397"/>
      <c r="ED49" s="397"/>
      <c r="EE49" s="397"/>
      <c r="EF49" s="397"/>
      <c r="EG49" s="397"/>
      <c r="EH49" s="397"/>
      <c r="EI49" s="397"/>
      <c r="EJ49" s="397"/>
      <c r="EK49" s="397"/>
      <c r="EL49" s="397"/>
      <c r="EM49" s="397"/>
      <c r="EN49" s="397"/>
      <c r="EO49" s="397"/>
      <c r="EP49" s="397"/>
      <c r="EQ49" s="397"/>
      <c r="ER49" s="397"/>
      <c r="ES49" s="397"/>
      <c r="ET49" s="397"/>
      <c r="EU49" s="397"/>
      <c r="EV49" s="397"/>
      <c r="EW49" s="397"/>
      <c r="EX49" s="397"/>
      <c r="EY49" s="397"/>
      <c r="EZ49" s="397"/>
      <c r="FA49" s="397"/>
      <c r="FB49" s="397"/>
      <c r="FC49" s="397"/>
      <c r="FD49" s="397"/>
      <c r="FE49" s="397"/>
      <c r="FF49" s="397"/>
      <c r="FG49" s="397"/>
      <c r="FH49" s="397"/>
      <c r="FI49" s="397"/>
      <c r="FJ49" s="397"/>
      <c r="FK49" s="397"/>
      <c r="FL49" s="397"/>
      <c r="FM49" s="397"/>
      <c r="FN49" s="397"/>
      <c r="FO49" s="397"/>
      <c r="FP49" s="397"/>
      <c r="FQ49" s="397"/>
      <c r="FR49" s="397"/>
      <c r="FS49" s="397"/>
      <c r="FT49" s="397"/>
      <c r="FU49" s="397"/>
      <c r="FV49" s="397"/>
      <c r="FW49" s="397"/>
      <c r="FX49" s="397"/>
      <c r="FY49" s="397"/>
      <c r="FZ49" s="397"/>
      <c r="GA49" s="397"/>
      <c r="GB49" s="397"/>
      <c r="GC49" s="397"/>
      <c r="GD49" s="397"/>
      <c r="GE49" s="397"/>
      <c r="GF49" s="397"/>
      <c r="GG49" s="397"/>
      <c r="GH49" s="397"/>
      <c r="GI49" s="397"/>
      <c r="GJ49" s="397"/>
      <c r="GK49" s="397"/>
      <c r="GL49" s="397"/>
      <c r="GM49" s="397"/>
      <c r="GN49" s="397"/>
      <c r="GO49" s="397"/>
      <c r="GP49" s="397"/>
      <c r="GQ49" s="397"/>
      <c r="GR49" s="397"/>
      <c r="GS49" s="397"/>
      <c r="GT49" s="397"/>
      <c r="GU49" s="397"/>
      <c r="GV49" s="397"/>
      <c r="GW49" s="397"/>
      <c r="GX49" s="397"/>
      <c r="GY49" s="397"/>
      <c r="GZ49" s="397"/>
      <c r="HA49" s="397"/>
      <c r="HB49" s="397"/>
      <c r="HC49" s="397"/>
      <c r="HD49" s="397"/>
      <c r="HE49" s="397"/>
      <c r="HF49" s="397"/>
      <c r="HG49" s="397"/>
      <c r="HH49" s="397"/>
      <c r="HI49" s="397"/>
      <c r="HJ49" s="397"/>
      <c r="HK49" s="397"/>
      <c r="HL49" s="397"/>
      <c r="HM49" s="397"/>
      <c r="HN49" s="397"/>
      <c r="HO49" s="397"/>
      <c r="HP49" s="397"/>
      <c r="HQ49" s="397"/>
      <c r="HR49" s="397"/>
      <c r="HS49" s="397"/>
      <c r="HT49" s="397"/>
      <c r="HU49" s="397"/>
      <c r="HV49" s="397"/>
      <c r="HW49" s="397"/>
      <c r="HX49" s="397"/>
      <c r="HY49" s="397"/>
      <c r="HZ49" s="397"/>
      <c r="IA49" s="397"/>
      <c r="IB49" s="397"/>
      <c r="IC49" s="397"/>
      <c r="ID49" s="397"/>
      <c r="IE49" s="397"/>
      <c r="IF49" s="397"/>
      <c r="IG49" s="397"/>
      <c r="IH49" s="397"/>
      <c r="II49" s="397"/>
      <c r="IJ49" s="397"/>
      <c r="IK49" s="397"/>
      <c r="IL49" s="397"/>
      <c r="IM49" s="397"/>
      <c r="IN49" s="397"/>
      <c r="IO49" s="397"/>
      <c r="IP49" s="397"/>
      <c r="IQ49" s="397"/>
      <c r="IR49" s="397"/>
      <c r="IS49" s="397"/>
      <c r="IT49" s="397"/>
      <c r="IU49" s="397"/>
      <c r="IV49" s="397"/>
      <c r="IW49" s="397"/>
    </row>
    <row r="50" customFormat="false" ht="13.2" hidden="false" customHeight="false" outlineLevel="0" collapsed="false">
      <c r="A50" s="354" t="n">
        <v>36731</v>
      </c>
      <c r="D50" s="371"/>
      <c r="F50" s="371"/>
      <c r="I50" s="371"/>
      <c r="J50" s="371"/>
      <c r="K50" s="371"/>
      <c r="N50" s="371"/>
      <c r="O50" s="371"/>
      <c r="P50" s="371"/>
      <c r="Q50" s="371"/>
      <c r="R50" s="371"/>
      <c r="S50" s="371"/>
      <c r="V50" s="371"/>
      <c r="W50" s="371"/>
      <c r="X50" s="371"/>
      <c r="Y50" s="371"/>
      <c r="Z50" s="371"/>
      <c r="AA50" s="371"/>
      <c r="AB50" s="371"/>
      <c r="AC50" s="371"/>
      <c r="AD50" s="371"/>
      <c r="AE50" s="371"/>
      <c r="AF50" s="371"/>
      <c r="AG50" s="371"/>
      <c r="AH50" s="371"/>
      <c r="AI50" s="371"/>
      <c r="AJ50" s="371"/>
      <c r="AK50" s="371"/>
      <c r="AL50" s="371"/>
      <c r="AM50" s="371"/>
      <c r="AN50" s="371"/>
      <c r="AO50" s="371"/>
      <c r="AP50" s="371"/>
      <c r="AQ50" s="371"/>
      <c r="AR50" s="371"/>
      <c r="AS50" s="371"/>
      <c r="AT50" s="371"/>
      <c r="AU50" s="371"/>
      <c r="AV50" s="371"/>
      <c r="AW50" s="371"/>
      <c r="AX50" s="371"/>
      <c r="AY50" s="371"/>
      <c r="AZ50" s="371"/>
      <c r="BA50" s="371"/>
      <c r="BB50" s="371"/>
      <c r="BC50" s="371"/>
      <c r="BD50" s="371"/>
      <c r="BE50" s="371"/>
      <c r="BF50" s="371"/>
      <c r="BG50" s="371"/>
      <c r="BH50" s="371"/>
      <c r="BI50" s="371"/>
      <c r="BJ50" s="371"/>
      <c r="BK50" s="371"/>
      <c r="BL50" s="371"/>
      <c r="BM50" s="371"/>
      <c r="BN50" s="371"/>
      <c r="BO50" s="371"/>
      <c r="BP50" s="371"/>
      <c r="BQ50" s="371"/>
      <c r="BR50" s="378" t="n">
        <f aca="false">+D50+K50+S50+AD50+AU50+AX50+BD50+BH50+BL50+BP50+BQ50+BI50</f>
        <v>0</v>
      </c>
    </row>
    <row r="51" customFormat="false" ht="13.2" hidden="false" customHeight="false" outlineLevel="0" collapsed="false">
      <c r="A51" s="354" t="n">
        <v>36732</v>
      </c>
      <c r="D51" s="371"/>
      <c r="F51" s="371"/>
      <c r="I51" s="371"/>
      <c r="J51" s="371"/>
      <c r="K51" s="371"/>
      <c r="N51" s="371"/>
      <c r="O51" s="371"/>
      <c r="P51" s="371"/>
      <c r="Q51" s="371"/>
      <c r="R51" s="371"/>
      <c r="S51" s="371"/>
      <c r="V51" s="371"/>
      <c r="W51" s="371"/>
      <c r="X51" s="371"/>
      <c r="Y51" s="371"/>
      <c r="Z51" s="371"/>
      <c r="AA51" s="371"/>
      <c r="AB51" s="371"/>
      <c r="AC51" s="371"/>
      <c r="AD51" s="371"/>
      <c r="AE51" s="371"/>
      <c r="AF51" s="371"/>
      <c r="AG51" s="371"/>
      <c r="AH51" s="371"/>
      <c r="AI51" s="371"/>
      <c r="AJ51" s="371"/>
      <c r="AK51" s="371"/>
      <c r="AL51" s="371"/>
      <c r="AM51" s="371"/>
      <c r="AN51" s="371"/>
      <c r="AO51" s="371"/>
      <c r="AP51" s="371"/>
      <c r="AQ51" s="371"/>
      <c r="AR51" s="371"/>
      <c r="AS51" s="371"/>
      <c r="AT51" s="371"/>
      <c r="AU51" s="371"/>
      <c r="AV51" s="371"/>
      <c r="AW51" s="371"/>
      <c r="AX51" s="371"/>
      <c r="AY51" s="371"/>
      <c r="AZ51" s="371"/>
      <c r="BA51" s="371"/>
      <c r="BB51" s="371"/>
      <c r="BC51" s="371"/>
      <c r="BD51" s="371"/>
      <c r="BE51" s="371"/>
      <c r="BF51" s="371"/>
      <c r="BG51" s="371"/>
      <c r="BH51" s="371"/>
      <c r="BI51" s="371"/>
      <c r="BJ51" s="371"/>
      <c r="BK51" s="371"/>
      <c r="BL51" s="371"/>
      <c r="BM51" s="371"/>
      <c r="BN51" s="371"/>
      <c r="BO51" s="371"/>
      <c r="BP51" s="371"/>
      <c r="BQ51" s="371"/>
      <c r="BR51" s="378" t="n">
        <f aca="false">+D51+K51+S51+AD51+AU51+AX51+BD51+BH51+BL51+BP51+BQ51+BI51</f>
        <v>0</v>
      </c>
    </row>
    <row r="52" customFormat="false" ht="13.2" hidden="false" customHeight="false" outlineLevel="0" collapsed="false">
      <c r="A52" s="354" t="n">
        <v>36733</v>
      </c>
      <c r="D52" s="371"/>
      <c r="F52" s="371"/>
      <c r="I52" s="371"/>
      <c r="J52" s="371"/>
      <c r="K52" s="371"/>
      <c r="N52" s="371"/>
      <c r="O52" s="371" t="n">
        <v>5</v>
      </c>
      <c r="P52" s="371"/>
      <c r="Q52" s="371"/>
      <c r="R52" s="371"/>
      <c r="S52" s="378" t="n">
        <f aca="false">SUM(M52:R52)</f>
        <v>5</v>
      </c>
      <c r="V52" s="371" t="n">
        <v>3</v>
      </c>
      <c r="W52" s="371" t="n">
        <v>2.5</v>
      </c>
      <c r="X52" s="371" t="n">
        <v>3</v>
      </c>
      <c r="Y52" s="371"/>
      <c r="Z52" s="371"/>
      <c r="AA52" s="371"/>
      <c r="AB52" s="371"/>
      <c r="AC52" s="371" t="n">
        <v>10</v>
      </c>
      <c r="AD52" s="378" t="n">
        <f aca="false">SUM(T52:AC52)</f>
        <v>18.5</v>
      </c>
      <c r="AE52" s="371"/>
      <c r="AF52" s="371"/>
      <c r="AG52" s="371" t="n">
        <v>10</v>
      </c>
      <c r="AH52" s="371" t="n">
        <v>10</v>
      </c>
      <c r="AI52" s="371" t="n">
        <v>5</v>
      </c>
      <c r="AJ52" s="371"/>
      <c r="AK52" s="371" t="n">
        <v>5</v>
      </c>
      <c r="AL52" s="371" t="n">
        <v>5</v>
      </c>
      <c r="AM52" s="371" t="n">
        <v>5</v>
      </c>
      <c r="AN52" s="371" t="n">
        <v>5</v>
      </c>
      <c r="AO52" s="371"/>
      <c r="AP52" s="371"/>
      <c r="AQ52" s="371" t="n">
        <v>10</v>
      </c>
      <c r="AR52" s="371" t="n">
        <v>5</v>
      </c>
      <c r="AS52" s="371" t="s">
        <v>662</v>
      </c>
      <c r="AT52" s="371"/>
      <c r="AU52" s="378" t="n">
        <f aca="false">SUM(AE52:AT52)</f>
        <v>60</v>
      </c>
      <c r="AV52" s="371" t="n">
        <v>10</v>
      </c>
      <c r="AW52" s="371"/>
      <c r="AX52" s="378" t="n">
        <f aca="false">+AW52+AV52</f>
        <v>10</v>
      </c>
      <c r="AY52" s="371" t="n">
        <v>0</v>
      </c>
      <c r="AZ52" s="371" t="n">
        <v>2</v>
      </c>
      <c r="BA52" s="371"/>
      <c r="BB52" s="371"/>
      <c r="BC52" s="371"/>
      <c r="BD52" s="378" t="n">
        <f aca="false">SUM(AY52:BC52)</f>
        <v>2</v>
      </c>
      <c r="BE52" s="371" t="n">
        <v>4</v>
      </c>
      <c r="BF52" s="371" t="n">
        <v>4</v>
      </c>
      <c r="BG52" s="371" t="n">
        <v>4</v>
      </c>
      <c r="BH52" s="378" t="n">
        <f aca="false">+BE52+BF52+BG52</f>
        <v>12</v>
      </c>
      <c r="BI52" s="378" t="n">
        <v>4</v>
      </c>
      <c r="BJ52" s="371" t="n">
        <v>4</v>
      </c>
      <c r="BK52" s="371"/>
      <c r="BL52" s="378" t="n">
        <f aca="false">+BJ52+BK52</f>
        <v>4</v>
      </c>
      <c r="BM52" s="371"/>
      <c r="BN52" s="371"/>
      <c r="BO52" s="371"/>
      <c r="BP52" s="371"/>
      <c r="BQ52" s="378" t="n">
        <v>5</v>
      </c>
      <c r="BR52" s="378" t="n">
        <f aca="false">+D52+K52+S52+AD52+AU52+AX52+BD52+BH52+BL52+BP52+BQ52+BI52</f>
        <v>120.5</v>
      </c>
    </row>
    <row r="53" customFormat="false" ht="13.2" hidden="false" customHeight="false" outlineLevel="0" collapsed="false">
      <c r="A53" s="354" t="n">
        <v>36734</v>
      </c>
      <c r="D53" s="371"/>
      <c r="F53" s="371" t="n">
        <v>9</v>
      </c>
      <c r="I53" s="371" t="n">
        <v>9</v>
      </c>
      <c r="J53" s="371" t="n">
        <v>9</v>
      </c>
      <c r="K53" s="378" t="n">
        <f aca="false">SUM(E53:J53)</f>
        <v>27</v>
      </c>
      <c r="N53" s="371"/>
      <c r="O53" s="371"/>
      <c r="P53" s="371"/>
      <c r="Q53" s="371"/>
      <c r="R53" s="371"/>
      <c r="S53" s="378"/>
      <c r="V53" s="371"/>
      <c r="W53" s="371" t="n">
        <v>3</v>
      </c>
      <c r="X53" s="371"/>
      <c r="Y53" s="371"/>
      <c r="Z53" s="371"/>
      <c r="AA53" s="371"/>
      <c r="AB53" s="371"/>
      <c r="AC53" s="371" t="n">
        <v>9</v>
      </c>
      <c r="AD53" s="378" t="n">
        <f aca="false">SUM(T53:AC53)</f>
        <v>12</v>
      </c>
      <c r="AE53" s="371"/>
      <c r="AF53" s="371"/>
      <c r="AG53" s="371" t="n">
        <v>9</v>
      </c>
      <c r="AH53" s="371"/>
      <c r="AI53" s="371"/>
      <c r="AJ53" s="371"/>
      <c r="AK53" s="371"/>
      <c r="AL53" s="371"/>
      <c r="AM53" s="371"/>
      <c r="AN53" s="371"/>
      <c r="AO53" s="371"/>
      <c r="AP53" s="371"/>
      <c r="AQ53" s="371" t="n">
        <v>9</v>
      </c>
      <c r="AR53" s="371" t="n">
        <v>3</v>
      </c>
      <c r="AS53" s="371"/>
      <c r="AT53" s="371"/>
      <c r="AU53" s="378" t="n">
        <f aca="false">SUM(AE53:AT53)</f>
        <v>21</v>
      </c>
      <c r="AV53" s="371" t="n">
        <v>9</v>
      </c>
      <c r="AW53" s="371"/>
      <c r="AX53" s="378" t="n">
        <f aca="false">+AW53+AV53</f>
        <v>9</v>
      </c>
      <c r="AY53" s="371"/>
      <c r="AZ53" s="371" t="n">
        <v>1</v>
      </c>
      <c r="BA53" s="371"/>
      <c r="BB53" s="371" t="n">
        <v>9</v>
      </c>
      <c r="BC53" s="371"/>
      <c r="BD53" s="378" t="n">
        <f aca="false">SUM(AY53:BC53)</f>
        <v>10</v>
      </c>
      <c r="BE53" s="371"/>
      <c r="BF53" s="371"/>
      <c r="BG53" s="371"/>
      <c r="BH53" s="378"/>
      <c r="BI53" s="378" t="n">
        <v>4</v>
      </c>
      <c r="BJ53" s="371" t="n">
        <v>4</v>
      </c>
      <c r="BK53" s="371"/>
      <c r="BL53" s="378" t="n">
        <f aca="false">+BJ53+BK53</f>
        <v>4</v>
      </c>
      <c r="BM53" s="371"/>
      <c r="BN53" s="371"/>
      <c r="BO53" s="371"/>
      <c r="BP53" s="371"/>
      <c r="BQ53" s="378" t="n">
        <v>5</v>
      </c>
      <c r="BR53" s="378" t="n">
        <f aca="false">+D53+K53+S53+AD53+AU53+AX53+BD53+BH53+BL53+BP53+BQ53+BI53</f>
        <v>92</v>
      </c>
    </row>
    <row r="54" customFormat="false" ht="13.2" hidden="false" customHeight="false" outlineLevel="0" collapsed="false">
      <c r="A54" s="354" t="n">
        <v>36735</v>
      </c>
      <c r="D54" s="371"/>
      <c r="F54" s="371" t="n">
        <v>10</v>
      </c>
      <c r="I54" s="371" t="n">
        <v>9.5</v>
      </c>
      <c r="J54" s="371" t="n">
        <v>9.5</v>
      </c>
      <c r="K54" s="378" t="n">
        <f aca="false">SUM(E54:J54)</f>
        <v>29</v>
      </c>
      <c r="N54" s="371"/>
      <c r="O54" s="371" t="n">
        <v>5</v>
      </c>
      <c r="P54" s="371"/>
      <c r="Q54" s="371"/>
      <c r="R54" s="371"/>
      <c r="S54" s="378" t="n">
        <f aca="false">SUM(M54:R54)</f>
        <v>5</v>
      </c>
      <c r="V54" s="371"/>
      <c r="W54" s="371" t="n">
        <v>1</v>
      </c>
      <c r="X54" s="371"/>
      <c r="Y54" s="371"/>
      <c r="Z54" s="371"/>
      <c r="AA54" s="371"/>
      <c r="AB54" s="371"/>
      <c r="AC54" s="371" t="n">
        <v>10</v>
      </c>
      <c r="AD54" s="378" t="n">
        <f aca="false">SUM(T54:AC54)</f>
        <v>11</v>
      </c>
      <c r="AE54" s="371"/>
      <c r="AF54" s="371"/>
      <c r="AG54" s="371" t="n">
        <v>10</v>
      </c>
      <c r="AH54" s="371" t="n">
        <v>9</v>
      </c>
      <c r="AI54" s="371" t="n">
        <v>0</v>
      </c>
      <c r="AJ54" s="371"/>
      <c r="AK54" s="371"/>
      <c r="AL54" s="371"/>
      <c r="AM54" s="371" t="n">
        <v>9</v>
      </c>
      <c r="AN54" s="371"/>
      <c r="AO54" s="371"/>
      <c r="AP54" s="371"/>
      <c r="AQ54" s="371" t="n">
        <v>5</v>
      </c>
      <c r="AR54" s="371"/>
      <c r="AS54" s="371"/>
      <c r="AT54" s="371"/>
      <c r="AU54" s="378" t="n">
        <f aca="false">SUM(AE54:AT54)</f>
        <v>33</v>
      </c>
      <c r="AV54" s="371"/>
      <c r="AW54" s="371"/>
      <c r="AX54" s="378"/>
      <c r="AY54" s="371" t="n">
        <v>2</v>
      </c>
      <c r="AZ54" s="371" t="n">
        <v>2</v>
      </c>
      <c r="BA54" s="371"/>
      <c r="BB54" s="371" t="n">
        <v>10</v>
      </c>
      <c r="BC54" s="371"/>
      <c r="BD54" s="378" t="n">
        <f aca="false">SUM(AY54:BC54)</f>
        <v>14</v>
      </c>
      <c r="BE54" s="371"/>
      <c r="BF54" s="371" t="n">
        <v>4</v>
      </c>
      <c r="BG54" s="371" t="n">
        <v>4</v>
      </c>
      <c r="BH54" s="378" t="n">
        <f aca="false">+BE54+BF54+BG54</f>
        <v>8</v>
      </c>
      <c r="BI54" s="378"/>
      <c r="BJ54" s="371" t="n">
        <v>4</v>
      </c>
      <c r="BK54" s="371"/>
      <c r="BL54" s="378" t="n">
        <f aca="false">+BJ54+BK54</f>
        <v>4</v>
      </c>
      <c r="BM54" s="371"/>
      <c r="BN54" s="371"/>
      <c r="BO54" s="371"/>
      <c r="BP54" s="371"/>
      <c r="BQ54" s="378"/>
      <c r="BR54" s="378" t="n">
        <f aca="false">+D54+K54+S54+AD54+AU54+AX54+BD54+BH54+BL54+BP54+BQ54+BI54</f>
        <v>104</v>
      </c>
    </row>
    <row r="55" customFormat="false" ht="13.2" hidden="false" customHeight="false" outlineLevel="0" collapsed="false">
      <c r="A55" s="354" t="n">
        <v>36736</v>
      </c>
      <c r="D55" s="371"/>
      <c r="F55" s="371"/>
      <c r="I55" s="371"/>
      <c r="J55" s="371"/>
      <c r="K55" s="378"/>
      <c r="N55" s="371"/>
      <c r="O55" s="371" t="n">
        <v>6.5</v>
      </c>
      <c r="P55" s="371"/>
      <c r="Q55" s="371"/>
      <c r="R55" s="371"/>
      <c r="S55" s="378" t="n">
        <f aca="false">SUM(M55:R55)</f>
        <v>6.5</v>
      </c>
      <c r="V55" s="371"/>
      <c r="W55" s="371" t="n">
        <v>0</v>
      </c>
      <c r="X55" s="371"/>
      <c r="Y55" s="371" t="n">
        <v>5</v>
      </c>
      <c r="Z55" s="371" t="n">
        <v>5</v>
      </c>
      <c r="AA55" s="371" t="n">
        <v>5</v>
      </c>
      <c r="AB55" s="371" t="n">
        <v>5</v>
      </c>
      <c r="AC55" s="371" t="n">
        <v>10</v>
      </c>
      <c r="AD55" s="378" t="n">
        <f aca="false">SUM(T55:AC55)</f>
        <v>30</v>
      </c>
      <c r="AE55" s="371"/>
      <c r="AF55" s="371"/>
      <c r="AG55" s="371" t="n">
        <v>10</v>
      </c>
      <c r="AH55" s="371" t="n">
        <v>10</v>
      </c>
      <c r="AI55" s="371" t="n">
        <v>4</v>
      </c>
      <c r="AJ55" s="371"/>
      <c r="AK55" s="371" t="n">
        <v>6</v>
      </c>
      <c r="AL55" s="371" t="n">
        <v>6</v>
      </c>
      <c r="AM55" s="371" t="n">
        <v>4</v>
      </c>
      <c r="AN55" s="371" t="n">
        <v>4</v>
      </c>
      <c r="AO55" s="371"/>
      <c r="AP55" s="371"/>
      <c r="AQ55" s="371"/>
      <c r="AR55" s="371"/>
      <c r="AS55" s="371"/>
      <c r="AT55" s="371"/>
      <c r="AU55" s="378" t="n">
        <f aca="false">SUM(AE55:AT55)</f>
        <v>44</v>
      </c>
      <c r="AV55" s="371"/>
      <c r="AW55" s="371"/>
      <c r="AX55" s="371"/>
      <c r="AY55" s="371" t="n">
        <v>10</v>
      </c>
      <c r="AZ55" s="371" t="n">
        <v>0</v>
      </c>
      <c r="BA55" s="371"/>
      <c r="BB55" s="371"/>
      <c r="BC55" s="371"/>
      <c r="BD55" s="378" t="n">
        <f aca="false">SUM(AY55:BC55)</f>
        <v>10</v>
      </c>
      <c r="BE55" s="371" t="n">
        <v>4</v>
      </c>
      <c r="BF55" s="371" t="n">
        <v>0</v>
      </c>
      <c r="BG55" s="371" t="n">
        <v>4</v>
      </c>
      <c r="BH55" s="378" t="n">
        <f aca="false">+BE55+BF55+BG55</f>
        <v>8</v>
      </c>
      <c r="BI55" s="378"/>
      <c r="BJ55" s="371"/>
      <c r="BK55" s="371"/>
      <c r="BL55" s="378"/>
      <c r="BM55" s="371"/>
      <c r="BN55" s="371"/>
      <c r="BO55" s="371"/>
      <c r="BP55" s="371"/>
      <c r="BQ55" s="378"/>
      <c r="BR55" s="378" t="n">
        <f aca="false">+D55+K55+S55+AD55+AU55+AX55+BD55+BH55+BL55+BP55+BQ55+BI55</f>
        <v>98.5</v>
      </c>
    </row>
    <row r="56" customFormat="false" ht="13.2" hidden="false" customHeight="false" outlineLevel="0" collapsed="false">
      <c r="A56" s="354" t="n">
        <v>37101</v>
      </c>
      <c r="D56" s="371"/>
      <c r="F56" s="371"/>
      <c r="I56" s="371"/>
      <c r="J56" s="371"/>
      <c r="K56" s="378"/>
      <c r="N56" s="371"/>
      <c r="O56" s="371"/>
      <c r="P56" s="371"/>
      <c r="Q56" s="371"/>
      <c r="R56" s="371"/>
      <c r="S56" s="378"/>
      <c r="V56" s="371"/>
      <c r="W56" s="371"/>
      <c r="X56" s="371"/>
      <c r="Y56" s="371"/>
      <c r="Z56" s="371"/>
      <c r="AA56" s="371"/>
      <c r="AB56" s="371"/>
      <c r="AC56" s="371"/>
      <c r="AD56" s="378"/>
      <c r="AE56" s="371"/>
      <c r="AF56" s="371"/>
      <c r="AG56" s="371"/>
      <c r="AH56" s="371" t="n">
        <v>10</v>
      </c>
      <c r="AI56" s="371" t="n">
        <v>11</v>
      </c>
      <c r="AJ56" s="371"/>
      <c r="AK56" s="371" t="n">
        <v>11</v>
      </c>
      <c r="AL56" s="371" t="n">
        <v>11</v>
      </c>
      <c r="AM56" s="371" t="n">
        <v>11</v>
      </c>
      <c r="AN56" s="371" t="n">
        <v>11</v>
      </c>
      <c r="AO56" s="371"/>
      <c r="AP56" s="371"/>
      <c r="AQ56" s="371"/>
      <c r="AR56" s="371"/>
      <c r="AS56" s="371"/>
      <c r="AT56" s="371"/>
      <c r="AU56" s="378" t="n">
        <f aca="false">SUM(AE56:AT56)</f>
        <v>65</v>
      </c>
      <c r="AV56" s="371"/>
      <c r="AW56" s="371"/>
      <c r="AX56" s="371"/>
      <c r="AY56" s="371"/>
      <c r="AZ56" s="371"/>
      <c r="BA56" s="371"/>
      <c r="BB56" s="371" t="n">
        <v>4</v>
      </c>
      <c r="BC56" s="371"/>
      <c r="BD56" s="378" t="n">
        <f aca="false">SUM(AY56:BC56)</f>
        <v>4</v>
      </c>
      <c r="BE56" s="371"/>
      <c r="BF56" s="371"/>
      <c r="BG56" s="371"/>
      <c r="BH56" s="378"/>
      <c r="BI56" s="378"/>
      <c r="BJ56" s="371"/>
      <c r="BK56" s="371"/>
      <c r="BL56" s="378"/>
      <c r="BM56" s="371"/>
      <c r="BN56" s="371"/>
      <c r="BO56" s="371"/>
      <c r="BP56" s="371"/>
      <c r="BQ56" s="371"/>
      <c r="BR56" s="378" t="n">
        <f aca="false">+D56+K56+S56+AD56+AU56+AX56+BD56+BH56+BL56+BP56+BQ56+BI56</f>
        <v>69</v>
      </c>
    </row>
    <row r="57" customFormat="false" ht="13.2" hidden="false" customHeight="false" outlineLevel="0" collapsed="false">
      <c r="A57" s="354" t="n">
        <v>36737</v>
      </c>
      <c r="D57" s="371"/>
      <c r="F57" s="371" t="n">
        <v>4</v>
      </c>
      <c r="I57" s="371" t="n">
        <v>4</v>
      </c>
      <c r="J57" s="371" t="n">
        <v>4</v>
      </c>
      <c r="K57" s="378" t="n">
        <f aca="false">SUM(E57:J57)</f>
        <v>12</v>
      </c>
      <c r="N57" s="371"/>
      <c r="O57" s="371"/>
      <c r="P57" s="371"/>
      <c r="Q57" s="371"/>
      <c r="R57" s="371"/>
      <c r="S57" s="378"/>
      <c r="V57" s="371"/>
      <c r="W57" s="371"/>
      <c r="X57" s="371"/>
      <c r="Y57" s="371"/>
      <c r="Z57" s="371"/>
      <c r="AA57" s="371"/>
      <c r="AB57" s="371"/>
      <c r="AC57" s="371" t="n">
        <v>5</v>
      </c>
      <c r="AD57" s="378" t="n">
        <f aca="false">SUM(T57:AC57)</f>
        <v>5</v>
      </c>
      <c r="AE57" s="371"/>
      <c r="AF57" s="371"/>
      <c r="AG57" s="371" t="n">
        <v>9</v>
      </c>
      <c r="AH57" s="371"/>
      <c r="AI57" s="371"/>
      <c r="AJ57" s="371"/>
      <c r="AK57" s="371"/>
      <c r="AL57" s="371"/>
      <c r="AM57" s="371"/>
      <c r="AN57" s="371"/>
      <c r="AO57" s="371"/>
      <c r="AP57" s="371"/>
      <c r="AQ57" s="371"/>
      <c r="AR57" s="371"/>
      <c r="AS57" s="371"/>
      <c r="AT57" s="371"/>
      <c r="AU57" s="378" t="n">
        <f aca="false">SUM(AE57:AT57)</f>
        <v>9</v>
      </c>
      <c r="AV57" s="371"/>
      <c r="AW57" s="371"/>
      <c r="AX57" s="371"/>
      <c r="AY57" s="371" t="n">
        <v>0</v>
      </c>
      <c r="AZ57" s="371" t="n">
        <v>6</v>
      </c>
      <c r="BA57" s="371"/>
      <c r="BB57" s="371"/>
      <c r="BC57" s="371"/>
      <c r="BD57" s="378" t="n">
        <f aca="false">SUM(AY57:BC57)</f>
        <v>6</v>
      </c>
      <c r="BE57" s="371"/>
      <c r="BF57" s="371"/>
      <c r="BG57" s="371"/>
      <c r="BH57" s="378"/>
      <c r="BI57" s="378"/>
      <c r="BJ57" s="371"/>
      <c r="BK57" s="371"/>
      <c r="BL57" s="378"/>
      <c r="BM57" s="371"/>
      <c r="BN57" s="371"/>
      <c r="BO57" s="371"/>
      <c r="BP57" s="371"/>
      <c r="BQ57" s="371"/>
      <c r="BR57" s="378" t="n">
        <f aca="false">+D57+K57+S57+AD57+AU57+AX57+BD57+BH57+BL57+BP57+BQ57+BI57</f>
        <v>32</v>
      </c>
    </row>
    <row r="58" customFormat="false" ht="13.2" hidden="false" customHeight="false" outlineLevel="0" collapsed="false">
      <c r="A58" s="354" t="n">
        <v>36738</v>
      </c>
      <c r="D58" s="371"/>
      <c r="F58" s="371"/>
      <c r="I58" s="371" t="n">
        <v>5.5</v>
      </c>
      <c r="J58" s="371" t="n">
        <v>5.5</v>
      </c>
      <c r="K58" s="378" t="n">
        <f aca="false">SUM(E58:J58)</f>
        <v>11</v>
      </c>
      <c r="N58" s="371"/>
      <c r="O58" s="371" t="n">
        <v>10</v>
      </c>
      <c r="P58" s="371"/>
      <c r="Q58" s="371"/>
      <c r="R58" s="371"/>
      <c r="S58" s="378" t="n">
        <f aca="false">SUM(M58:R58)</f>
        <v>10</v>
      </c>
      <c r="V58" s="371"/>
      <c r="W58" s="371" t="n">
        <v>6.5</v>
      </c>
      <c r="X58" s="371"/>
      <c r="Y58" s="371"/>
      <c r="Z58" s="371" t="n">
        <v>7</v>
      </c>
      <c r="AA58" s="371"/>
      <c r="AB58" s="371" t="n">
        <v>5</v>
      </c>
      <c r="AC58" s="371" t="n">
        <v>10</v>
      </c>
      <c r="AD58" s="378" t="n">
        <f aca="false">SUM(T58:AC58)</f>
        <v>28.5</v>
      </c>
      <c r="AE58" s="371"/>
      <c r="AF58" s="371"/>
      <c r="AG58" s="371" t="n">
        <v>10</v>
      </c>
      <c r="AH58" s="371" t="n">
        <v>10</v>
      </c>
      <c r="AI58" s="371" t="n">
        <v>10</v>
      </c>
      <c r="AJ58" s="371"/>
      <c r="AK58" s="371" t="n">
        <v>10</v>
      </c>
      <c r="AL58" s="371" t="n">
        <v>10</v>
      </c>
      <c r="AM58" s="371" t="n">
        <v>10</v>
      </c>
      <c r="AN58" s="371" t="n">
        <v>10</v>
      </c>
      <c r="AO58" s="371"/>
      <c r="AP58" s="371"/>
      <c r="AQ58" s="371"/>
      <c r="AR58" s="371"/>
      <c r="AS58" s="371"/>
      <c r="AT58" s="371"/>
      <c r="AU58" s="378" t="n">
        <f aca="false">SUM(AE58:AT58)</f>
        <v>70</v>
      </c>
      <c r="AV58" s="371"/>
      <c r="AW58" s="371"/>
      <c r="AX58" s="371"/>
      <c r="AY58" s="371" t="n">
        <v>0</v>
      </c>
      <c r="AZ58" s="371" t="n">
        <v>0</v>
      </c>
      <c r="BA58" s="371"/>
      <c r="BB58" s="371" t="n">
        <v>10</v>
      </c>
      <c r="BC58" s="371"/>
      <c r="BD58" s="378" t="n">
        <f aca="false">SUM(AY58:BC58)</f>
        <v>10</v>
      </c>
      <c r="BE58" s="371" t="n">
        <v>4</v>
      </c>
      <c r="BF58" s="371" t="n">
        <v>4</v>
      </c>
      <c r="BG58" s="371" t="n">
        <v>4</v>
      </c>
      <c r="BH58" s="378" t="n">
        <f aca="false">+BE58+BF58+BG58</f>
        <v>12</v>
      </c>
      <c r="BI58" s="378" t="n">
        <v>4</v>
      </c>
      <c r="BJ58" s="371"/>
      <c r="BK58" s="371" t="n">
        <v>6</v>
      </c>
      <c r="BL58" s="378" t="n">
        <f aca="false">+BJ58+BK58</f>
        <v>6</v>
      </c>
      <c r="BM58" s="371" t="n">
        <v>6</v>
      </c>
      <c r="BN58" s="371"/>
      <c r="BO58" s="371"/>
      <c r="BP58" s="378" t="n">
        <f aca="false">+BM58+BN58+BO58</f>
        <v>6</v>
      </c>
      <c r="BQ58" s="371"/>
      <c r="BR58" s="378" t="n">
        <f aca="false">+D58+K58+S58+AD58+AU58+AX58+BD58+BH58+BL58+BP58+BQ58+BI58</f>
        <v>157.5</v>
      </c>
    </row>
    <row r="59" customFormat="false" ht="13.2" hidden="false" customHeight="false" outlineLevel="0" collapsed="false">
      <c r="A59" s="354" t="n">
        <v>36739</v>
      </c>
      <c r="D59" s="371"/>
      <c r="F59" s="371" t="n">
        <v>5.5</v>
      </c>
      <c r="I59" s="371" t="n">
        <v>6.5</v>
      </c>
      <c r="J59" s="371" t="n">
        <v>6.5</v>
      </c>
      <c r="K59" s="378" t="n">
        <f aca="false">SUM(E59:J59)</f>
        <v>18.5</v>
      </c>
      <c r="N59" s="371"/>
      <c r="O59" s="371" t="n">
        <v>4</v>
      </c>
      <c r="P59" s="371"/>
      <c r="Q59" s="371"/>
      <c r="R59" s="371"/>
      <c r="S59" s="378" t="n">
        <f aca="false">SUM(M59:R59)</f>
        <v>4</v>
      </c>
      <c r="V59" s="371" t="n">
        <v>4</v>
      </c>
      <c r="W59" s="371" t="n">
        <v>4</v>
      </c>
      <c r="X59" s="371" t="n">
        <v>4</v>
      </c>
      <c r="Y59" s="371"/>
      <c r="Z59" s="371" t="n">
        <v>4</v>
      </c>
      <c r="AA59" s="371" t="n">
        <v>4</v>
      </c>
      <c r="AB59" s="371" t="n">
        <v>4</v>
      </c>
      <c r="AC59" s="371" t="n">
        <v>10</v>
      </c>
      <c r="AD59" s="378" t="n">
        <f aca="false">SUM(T59:AC59)</f>
        <v>34</v>
      </c>
      <c r="AE59" s="371"/>
      <c r="AF59" s="371"/>
      <c r="AG59" s="371" t="n">
        <v>10</v>
      </c>
      <c r="AH59" s="371" t="n">
        <v>10</v>
      </c>
      <c r="AI59" s="371" t="n">
        <v>4</v>
      </c>
      <c r="AJ59" s="371"/>
      <c r="AK59" s="371" t="n">
        <v>4</v>
      </c>
      <c r="AL59" s="371" t="n">
        <v>4</v>
      </c>
      <c r="AM59" s="371" t="n">
        <v>4</v>
      </c>
      <c r="AN59" s="371" t="n">
        <v>4</v>
      </c>
      <c r="AO59" s="371"/>
      <c r="AP59" s="371"/>
      <c r="AQ59" s="371"/>
      <c r="AR59" s="371"/>
      <c r="AS59" s="371"/>
      <c r="AT59" s="371"/>
      <c r="AU59" s="378" t="n">
        <f aca="false">SUM(AE59:AT59)</f>
        <v>40</v>
      </c>
      <c r="AV59" s="371"/>
      <c r="AW59" s="371"/>
      <c r="AX59" s="371"/>
      <c r="AY59" s="371" t="n">
        <v>10</v>
      </c>
      <c r="AZ59" s="371" t="n">
        <v>0</v>
      </c>
      <c r="BA59" s="371"/>
      <c r="BB59" s="371" t="n">
        <v>6.5</v>
      </c>
      <c r="BC59" s="371"/>
      <c r="BD59" s="378" t="n">
        <f aca="false">SUM(AY59:BC59)</f>
        <v>16.5</v>
      </c>
      <c r="BE59" s="371" t="n">
        <v>4</v>
      </c>
      <c r="BF59" s="371" t="n">
        <v>4</v>
      </c>
      <c r="BG59" s="371" t="n">
        <v>4</v>
      </c>
      <c r="BH59" s="378" t="n">
        <f aca="false">+BE59+BF59+BG59</f>
        <v>12</v>
      </c>
      <c r="BI59" s="378" t="n">
        <v>4</v>
      </c>
      <c r="BJ59" s="371"/>
      <c r="BK59" s="376"/>
      <c r="BL59" s="378"/>
      <c r="BM59" s="376"/>
      <c r="BN59" s="371"/>
      <c r="BO59" s="371"/>
      <c r="BP59" s="371"/>
      <c r="BQ59" s="371"/>
      <c r="BR59" s="378" t="n">
        <f aca="false">+D59+K59+S59+AD59+AU59+AX59+BD59+BH59+BL59+BP59+BQ59+BI59</f>
        <v>129</v>
      </c>
    </row>
    <row r="60" customFormat="false" ht="13.2" hidden="false" customHeight="false" outlineLevel="0" collapsed="false">
      <c r="A60" s="354" t="n">
        <v>36740</v>
      </c>
      <c r="D60" s="371"/>
      <c r="F60" s="371" t="n">
        <v>10</v>
      </c>
      <c r="I60" s="371" t="s">
        <v>659</v>
      </c>
      <c r="J60" s="371" t="s">
        <v>659</v>
      </c>
      <c r="K60" s="378" t="n">
        <f aca="false">SUM(E60:J60)</f>
        <v>10</v>
      </c>
      <c r="N60" s="371"/>
      <c r="O60" s="371" t="n">
        <v>2</v>
      </c>
      <c r="P60" s="371"/>
      <c r="Q60" s="371"/>
      <c r="R60" s="371"/>
      <c r="S60" s="378" t="n">
        <f aca="false">SUM(M60:R60)</f>
        <v>2</v>
      </c>
      <c r="V60" s="371"/>
      <c r="W60" s="371" t="n">
        <v>3</v>
      </c>
      <c r="X60" s="371"/>
      <c r="Y60" s="371"/>
      <c r="Z60" s="371"/>
      <c r="AA60" s="371"/>
      <c r="AB60" s="371"/>
      <c r="AC60" s="371" t="n">
        <v>10</v>
      </c>
      <c r="AD60" s="378" t="n">
        <f aca="false">SUM(T60:AC60)</f>
        <v>13</v>
      </c>
      <c r="AE60" s="371"/>
      <c r="AF60" s="371"/>
      <c r="AG60" s="371" t="n">
        <v>10</v>
      </c>
      <c r="AH60" s="371" t="n">
        <v>10</v>
      </c>
      <c r="AI60" s="371" t="n">
        <v>5</v>
      </c>
      <c r="AJ60" s="371"/>
      <c r="AK60" s="371" t="n">
        <v>5</v>
      </c>
      <c r="AL60" s="371" t="n">
        <v>5</v>
      </c>
      <c r="AM60" s="371" t="n">
        <v>5</v>
      </c>
      <c r="AN60" s="371" t="n">
        <v>5</v>
      </c>
      <c r="AO60" s="371"/>
      <c r="AP60" s="371"/>
      <c r="AQ60" s="371"/>
      <c r="AR60" s="371"/>
      <c r="AS60" s="371"/>
      <c r="AT60" s="371"/>
      <c r="AU60" s="378" t="n">
        <f aca="false">SUM(AE60:AT60)</f>
        <v>45</v>
      </c>
      <c r="AV60" s="371"/>
      <c r="AW60" s="371"/>
      <c r="AX60" s="371"/>
      <c r="AY60" s="371" t="n">
        <v>10</v>
      </c>
      <c r="AZ60" s="371" t="n">
        <v>14</v>
      </c>
      <c r="BA60" s="371"/>
      <c r="BB60" s="371" t="n">
        <v>10</v>
      </c>
      <c r="BC60" s="371"/>
      <c r="BD60" s="378" t="n">
        <f aca="false">SUM(AY60:BC60)</f>
        <v>34</v>
      </c>
      <c r="BE60" s="371" t="n">
        <v>4</v>
      </c>
      <c r="BF60" s="371" t="n">
        <v>4</v>
      </c>
      <c r="BG60" s="371"/>
      <c r="BH60" s="378" t="n">
        <f aca="false">+BE60+BF60+BG60</f>
        <v>8</v>
      </c>
      <c r="BI60" s="378" t="n">
        <v>4</v>
      </c>
      <c r="BJ60" s="371"/>
      <c r="BK60" s="371" t="n">
        <v>10</v>
      </c>
      <c r="BL60" s="378" t="n">
        <f aca="false">+BJ60+BK60</f>
        <v>10</v>
      </c>
      <c r="BM60" s="371"/>
      <c r="BN60" s="371"/>
      <c r="BO60" s="371"/>
      <c r="BP60" s="371"/>
      <c r="BQ60" s="371"/>
      <c r="BR60" s="378" t="n">
        <f aca="false">+D60+K60+S60+AD60+AU60+AX60+BD60+BH60+BL60+BP60+BQ60+BI60</f>
        <v>126</v>
      </c>
    </row>
    <row r="61" customFormat="false" ht="13.2" hidden="false" customHeight="false" outlineLevel="0" collapsed="false">
      <c r="A61" s="354" t="n">
        <v>36741</v>
      </c>
      <c r="D61" s="371"/>
      <c r="F61" s="371" t="n">
        <v>9</v>
      </c>
      <c r="I61" s="371" t="n">
        <v>9</v>
      </c>
      <c r="J61" s="371" t="n">
        <v>9</v>
      </c>
      <c r="K61" s="378" t="n">
        <f aca="false">SUM(E61:J61)</f>
        <v>27</v>
      </c>
      <c r="N61" s="371"/>
      <c r="O61" s="371"/>
      <c r="P61" s="371"/>
      <c r="Q61" s="371"/>
      <c r="R61" s="371"/>
      <c r="S61" s="378"/>
      <c r="V61" s="371"/>
      <c r="W61" s="371" t="n">
        <v>6</v>
      </c>
      <c r="X61" s="371" t="n">
        <v>9</v>
      </c>
      <c r="Y61" s="371"/>
      <c r="Z61" s="371" t="n">
        <v>5</v>
      </c>
      <c r="AA61" s="371" t="n">
        <v>9</v>
      </c>
      <c r="AB61" s="371"/>
      <c r="AC61" s="371" t="n">
        <v>9</v>
      </c>
      <c r="AD61" s="378" t="n">
        <f aca="false">SUM(T61:AC61)</f>
        <v>38</v>
      </c>
      <c r="AE61" s="371"/>
      <c r="AF61" s="371"/>
      <c r="AG61" s="371" t="n">
        <v>9</v>
      </c>
      <c r="AH61" s="371" t="n">
        <v>9</v>
      </c>
      <c r="AI61" s="371"/>
      <c r="AJ61" s="371"/>
      <c r="AK61" s="371"/>
      <c r="AL61" s="371"/>
      <c r="AM61" s="371"/>
      <c r="AN61" s="371"/>
      <c r="AO61" s="371"/>
      <c r="AP61" s="371"/>
      <c r="AQ61" s="371"/>
      <c r="AR61" s="371" t="n">
        <v>9</v>
      </c>
      <c r="AS61" s="371"/>
      <c r="AT61" s="371"/>
      <c r="AU61" s="378" t="n">
        <f aca="false">SUM(AE61:AT61)</f>
        <v>27</v>
      </c>
      <c r="AV61" s="371"/>
      <c r="AW61" s="371"/>
      <c r="AX61" s="371"/>
      <c r="AY61" s="371" t="n">
        <v>9</v>
      </c>
      <c r="AZ61" s="371" t="n">
        <v>3</v>
      </c>
      <c r="BA61" s="371"/>
      <c r="BB61" s="371" t="n">
        <v>8</v>
      </c>
      <c r="BC61" s="371"/>
      <c r="BD61" s="378" t="n">
        <f aca="false">SUM(AY61:BC61)</f>
        <v>20</v>
      </c>
      <c r="BE61" s="371" t="n">
        <v>4</v>
      </c>
      <c r="BF61" s="371" t="n">
        <v>4</v>
      </c>
      <c r="BG61" s="371" t="n">
        <v>4</v>
      </c>
      <c r="BH61" s="378" t="n">
        <f aca="false">+BE61+BF61+BG61</f>
        <v>12</v>
      </c>
      <c r="BI61" s="378" t="n">
        <v>4</v>
      </c>
      <c r="BJ61" s="371"/>
      <c r="BK61" s="371"/>
      <c r="BL61" s="378"/>
      <c r="BM61" s="371"/>
      <c r="BN61" s="371"/>
      <c r="BO61" s="371"/>
      <c r="BP61" s="371"/>
      <c r="BQ61" s="371"/>
      <c r="BR61" s="378" t="n">
        <f aca="false">+D61+K61+S61+AD61+AU61+AX61+BD61+BH61+BL61+BP61+BQ61+BI61</f>
        <v>128</v>
      </c>
    </row>
    <row r="62" customFormat="false" ht="13.2" hidden="false" customHeight="false" outlineLevel="0" collapsed="false">
      <c r="A62" s="354" t="n">
        <v>36742</v>
      </c>
      <c r="D62" s="371"/>
      <c r="F62" s="371" t="n">
        <v>10</v>
      </c>
      <c r="I62" s="371" t="n">
        <v>7.5</v>
      </c>
      <c r="J62" s="371" t="n">
        <v>7.5</v>
      </c>
      <c r="K62" s="378" t="n">
        <f aca="false">SUM(E62:J62)</f>
        <v>25</v>
      </c>
      <c r="N62" s="371"/>
      <c r="O62" s="371"/>
      <c r="P62" s="371"/>
      <c r="Q62" s="371"/>
      <c r="R62" s="371"/>
      <c r="S62" s="371"/>
      <c r="V62" s="371"/>
      <c r="W62" s="371" t="n">
        <v>3.5</v>
      </c>
      <c r="X62" s="371" t="n">
        <v>10</v>
      </c>
      <c r="Y62" s="371"/>
      <c r="Z62" s="371" t="n">
        <v>5</v>
      </c>
      <c r="AA62" s="371"/>
      <c r="AB62" s="371" t="n">
        <v>5.5</v>
      </c>
      <c r="AC62" s="371" t="n">
        <v>10</v>
      </c>
      <c r="AD62" s="378" t="n">
        <f aca="false">SUM(T62:AC62)</f>
        <v>34</v>
      </c>
      <c r="AE62" s="371"/>
      <c r="AF62" s="371"/>
      <c r="AG62" s="371" t="n">
        <v>10</v>
      </c>
      <c r="AH62" s="371" t="n">
        <v>10</v>
      </c>
      <c r="AI62" s="371" t="n">
        <v>10</v>
      </c>
      <c r="AJ62" s="371"/>
      <c r="AK62" s="371" t="n">
        <v>5</v>
      </c>
      <c r="AL62" s="371" t="n">
        <v>5</v>
      </c>
      <c r="AM62" s="371" t="n">
        <v>10</v>
      </c>
      <c r="AN62" s="371" t="n">
        <v>10</v>
      </c>
      <c r="AO62" s="376"/>
      <c r="AP62" s="376"/>
      <c r="AQ62" s="371"/>
      <c r="AR62" s="371" t="n">
        <v>10</v>
      </c>
      <c r="AS62" s="371"/>
      <c r="AT62" s="371"/>
      <c r="AU62" s="378" t="n">
        <f aca="false">SUM(AE62:AT62)</f>
        <v>70</v>
      </c>
      <c r="AV62" s="371"/>
      <c r="AW62" s="371"/>
      <c r="AX62" s="371"/>
      <c r="AY62" s="371" t="n">
        <v>10</v>
      </c>
      <c r="AZ62" s="371" t="n">
        <v>3</v>
      </c>
      <c r="BA62" s="371"/>
      <c r="BB62" s="371" t="s">
        <v>662</v>
      </c>
      <c r="BC62" s="371"/>
      <c r="BD62" s="378" t="n">
        <f aca="false">SUM(AY62:BC62)</f>
        <v>13</v>
      </c>
      <c r="BE62" s="371" t="n">
        <v>4</v>
      </c>
      <c r="BF62" s="371" t="n">
        <v>4</v>
      </c>
      <c r="BG62" s="371" t="n">
        <v>4</v>
      </c>
      <c r="BH62" s="378" t="n">
        <f aca="false">+BE62+BF62+BG62</f>
        <v>12</v>
      </c>
      <c r="BI62" s="378"/>
      <c r="BJ62" s="371"/>
      <c r="BK62" s="371"/>
      <c r="BL62" s="378"/>
      <c r="BM62" s="371"/>
      <c r="BN62" s="371"/>
      <c r="BO62" s="371"/>
      <c r="BP62" s="371"/>
      <c r="BQ62" s="371"/>
      <c r="BR62" s="378" t="n">
        <f aca="false">+D62+K62+S62+AD62+AU62+AX62+BD62+BH62+BL62+BP62+BQ62+BI62</f>
        <v>154</v>
      </c>
    </row>
    <row r="63" customFormat="false" ht="13.2" hidden="false" customHeight="false" outlineLevel="0" collapsed="false">
      <c r="A63" s="354" t="n">
        <v>36743</v>
      </c>
      <c r="D63" s="371"/>
      <c r="F63" s="371"/>
      <c r="I63" s="371"/>
      <c r="J63" s="371"/>
      <c r="K63" s="378"/>
      <c r="N63" s="371"/>
      <c r="O63" s="371"/>
      <c r="P63" s="371"/>
      <c r="Q63" s="371"/>
      <c r="R63" s="371"/>
      <c r="S63" s="371"/>
      <c r="V63" s="371"/>
      <c r="W63" s="371" t="n">
        <v>2</v>
      </c>
      <c r="X63" s="371"/>
      <c r="Y63" s="371"/>
      <c r="Z63" s="371"/>
      <c r="AA63" s="371"/>
      <c r="AB63" s="371"/>
      <c r="AC63" s="371" t="n">
        <v>8.5</v>
      </c>
      <c r="AD63" s="378" t="n">
        <f aca="false">SUM(T63:AC63)</f>
        <v>10.5</v>
      </c>
      <c r="AE63" s="371"/>
      <c r="AF63" s="371"/>
      <c r="AG63" s="371" t="n">
        <v>8</v>
      </c>
      <c r="AH63" s="371" t="n">
        <v>10</v>
      </c>
      <c r="AI63" s="371" t="n">
        <v>7</v>
      </c>
      <c r="AJ63" s="371"/>
      <c r="AK63" s="371" t="n">
        <v>7.5</v>
      </c>
      <c r="AL63" s="371" t="n">
        <v>7</v>
      </c>
      <c r="AM63" s="371" t="n">
        <v>7</v>
      </c>
      <c r="AN63" s="371" t="s">
        <v>668</v>
      </c>
      <c r="AO63" s="371"/>
      <c r="AP63" s="371"/>
      <c r="AQ63" s="371"/>
      <c r="AR63" s="371" t="n">
        <v>8.5</v>
      </c>
      <c r="AS63" s="371"/>
      <c r="AT63" s="371"/>
      <c r="AU63" s="378" t="n">
        <f aca="false">SUM(AE63:AT63)</f>
        <v>55</v>
      </c>
      <c r="AV63" s="371"/>
      <c r="AW63" s="371"/>
      <c r="AX63" s="371"/>
      <c r="AY63" s="371" t="n">
        <v>2.5</v>
      </c>
      <c r="AZ63" s="371" t="n">
        <v>2.5</v>
      </c>
      <c r="BA63" s="371"/>
      <c r="BB63" s="371"/>
      <c r="BC63" s="371"/>
      <c r="BD63" s="378" t="n">
        <f aca="false">SUM(AY63:BC63)</f>
        <v>5</v>
      </c>
      <c r="BE63" s="371" t="n">
        <v>4</v>
      </c>
      <c r="BF63" s="371" t="n">
        <v>4</v>
      </c>
      <c r="BG63" s="371" t="n">
        <v>4</v>
      </c>
      <c r="BH63" s="378" t="n">
        <f aca="false">+BE63+BF63+BG63</f>
        <v>12</v>
      </c>
      <c r="BI63" s="378" t="n">
        <v>4</v>
      </c>
      <c r="BJ63" s="371"/>
      <c r="BK63" s="371"/>
      <c r="BL63" s="378"/>
      <c r="BM63" s="371"/>
      <c r="BN63" s="371"/>
      <c r="BO63" s="371"/>
      <c r="BP63" s="371"/>
      <c r="BQ63" s="371"/>
      <c r="BR63" s="378" t="n">
        <f aca="false">+D63+K63+S63+AD63+AU63+AX63+BD63+BH63+BL63+BP63+BQ63+BI63</f>
        <v>86.5</v>
      </c>
    </row>
    <row r="64" customFormat="false" ht="13.2" hidden="false" customHeight="false" outlineLevel="0" collapsed="false">
      <c r="A64" s="354" t="n">
        <v>36744</v>
      </c>
      <c r="D64" s="371"/>
      <c r="F64" s="371"/>
      <c r="I64" s="371"/>
      <c r="J64" s="371"/>
      <c r="K64" s="371"/>
      <c r="N64" s="371"/>
      <c r="O64" s="371"/>
      <c r="P64" s="371"/>
      <c r="Q64" s="371"/>
      <c r="R64" s="371"/>
      <c r="S64" s="371"/>
      <c r="V64" s="371"/>
      <c r="W64" s="371"/>
      <c r="X64" s="371"/>
      <c r="Y64" s="371"/>
      <c r="Z64" s="371"/>
      <c r="AA64" s="371"/>
      <c r="AB64" s="371"/>
      <c r="AC64" s="371"/>
      <c r="AD64" s="378"/>
      <c r="AE64" s="371"/>
      <c r="AF64" s="371"/>
      <c r="AG64" s="371"/>
      <c r="AH64" s="371"/>
      <c r="AI64" s="371"/>
      <c r="AJ64" s="371"/>
      <c r="AK64" s="371"/>
      <c r="AL64" s="371"/>
      <c r="AM64" s="371"/>
      <c r="AN64" s="371"/>
      <c r="AO64" s="371"/>
      <c r="AP64" s="371"/>
      <c r="AQ64" s="371"/>
      <c r="AR64" s="371"/>
      <c r="AS64" s="371"/>
      <c r="AT64" s="371"/>
      <c r="AU64" s="378"/>
      <c r="AV64" s="371"/>
      <c r="AW64" s="371"/>
      <c r="AX64" s="371"/>
      <c r="AY64" s="371"/>
      <c r="AZ64" s="371"/>
      <c r="BA64" s="371"/>
      <c r="BB64" s="371"/>
      <c r="BC64" s="371"/>
      <c r="BD64" s="378"/>
      <c r="BE64" s="371"/>
      <c r="BF64" s="371"/>
      <c r="BG64" s="371"/>
      <c r="BH64" s="378"/>
      <c r="BI64" s="378"/>
      <c r="BJ64" s="371"/>
      <c r="BK64" s="371"/>
      <c r="BL64" s="371"/>
      <c r="BM64" s="371"/>
      <c r="BN64" s="371"/>
      <c r="BO64" s="371"/>
      <c r="BP64" s="371"/>
      <c r="BQ64" s="371"/>
      <c r="BR64" s="378" t="n">
        <f aca="false">+D64+K64+S64+AD64+AU64+AX64+BD64+BH64+BL64+BP64+BQ64+BI64</f>
        <v>0</v>
      </c>
    </row>
    <row r="65" customFormat="false" ht="13.2" hidden="false" customHeight="false" outlineLevel="0" collapsed="false">
      <c r="A65" s="354" t="n">
        <v>36745</v>
      </c>
      <c r="D65" s="371"/>
      <c r="F65" s="371"/>
      <c r="I65" s="371"/>
      <c r="J65" s="371"/>
      <c r="K65" s="371"/>
      <c r="N65" s="371"/>
      <c r="O65" s="371"/>
      <c r="P65" s="371"/>
      <c r="Q65" s="371"/>
      <c r="R65" s="371"/>
      <c r="S65" s="371"/>
      <c r="V65" s="371"/>
      <c r="W65" s="371" t="n">
        <v>1</v>
      </c>
      <c r="X65" s="371"/>
      <c r="Y65" s="371"/>
      <c r="Z65" s="371"/>
      <c r="AA65" s="371"/>
      <c r="AB65" s="371"/>
      <c r="AC65" s="371" t="n">
        <v>10</v>
      </c>
      <c r="AD65" s="378" t="n">
        <f aca="false">SUM(T65:AC65)</f>
        <v>11</v>
      </c>
      <c r="AE65" s="371"/>
      <c r="AF65" s="371"/>
      <c r="AG65" s="371" t="n">
        <v>10</v>
      </c>
      <c r="AH65" s="371"/>
      <c r="AI65" s="371"/>
      <c r="AJ65" s="371"/>
      <c r="AK65" s="371"/>
      <c r="AL65" s="371"/>
      <c r="AM65" s="371"/>
      <c r="AN65" s="371"/>
      <c r="AO65" s="371"/>
      <c r="AP65" s="371"/>
      <c r="AQ65" s="371"/>
      <c r="AR65" s="371" t="n">
        <v>10</v>
      </c>
      <c r="AS65" s="371"/>
      <c r="AT65" s="371"/>
      <c r="AU65" s="378" t="n">
        <f aca="false">SUM(AE65:AT65)</f>
        <v>20</v>
      </c>
      <c r="AV65" s="371"/>
      <c r="AW65" s="371"/>
      <c r="AX65" s="371"/>
      <c r="AY65" s="371" t="n">
        <v>0</v>
      </c>
      <c r="AZ65" s="371" t="n">
        <v>2</v>
      </c>
      <c r="BA65" s="371"/>
      <c r="BB65" s="371"/>
      <c r="BC65" s="371"/>
      <c r="BD65" s="378" t="n">
        <f aca="false">SUM(AY65:BC65)</f>
        <v>2</v>
      </c>
      <c r="BE65" s="371" t="n">
        <v>4</v>
      </c>
      <c r="BF65" s="371" t="n">
        <v>4</v>
      </c>
      <c r="BG65" s="371" t="n">
        <v>4</v>
      </c>
      <c r="BH65" s="378" t="n">
        <f aca="false">+BE65+BF65+BG65</f>
        <v>12</v>
      </c>
      <c r="BI65" s="378"/>
      <c r="BJ65" s="371"/>
      <c r="BK65" s="371"/>
      <c r="BL65" s="371"/>
      <c r="BM65" s="371"/>
      <c r="BN65" s="371"/>
      <c r="BO65" s="371"/>
      <c r="BP65" s="371"/>
      <c r="BQ65" s="371"/>
      <c r="BR65" s="378" t="n">
        <f aca="false">+D65+K65+S65+AD65+AU65+AX65+BD65+BH65+BL65+BP65+BQ65+BI65</f>
        <v>45</v>
      </c>
    </row>
    <row r="66" customFormat="false" ht="13.2" hidden="false" customHeight="false" outlineLevel="0" collapsed="false">
      <c r="A66" s="354" t="n">
        <v>36746</v>
      </c>
      <c r="D66" s="371"/>
      <c r="F66" s="371"/>
      <c r="I66" s="371"/>
      <c r="J66" s="371"/>
      <c r="K66" s="371"/>
      <c r="N66" s="371"/>
      <c r="O66" s="371"/>
      <c r="P66" s="371"/>
      <c r="Q66" s="371"/>
      <c r="R66" s="371"/>
      <c r="S66" s="371"/>
      <c r="V66" s="371"/>
      <c r="W66" s="371" t="n">
        <v>2</v>
      </c>
      <c r="X66" s="371"/>
      <c r="Y66" s="371"/>
      <c r="Z66" s="371"/>
      <c r="AA66" s="371"/>
      <c r="AB66" s="371"/>
      <c r="AC66" s="371" t="n">
        <v>5</v>
      </c>
      <c r="AD66" s="378" t="n">
        <f aca="false">SUM(T66:AC66)</f>
        <v>7</v>
      </c>
      <c r="AE66" s="371"/>
      <c r="AF66" s="371"/>
      <c r="AG66" s="371" t="n">
        <v>10</v>
      </c>
      <c r="AH66" s="371"/>
      <c r="AI66" s="371"/>
      <c r="AJ66" s="371"/>
      <c r="AK66" s="371"/>
      <c r="AL66" s="371"/>
      <c r="AM66" s="371"/>
      <c r="AN66" s="371"/>
      <c r="AO66" s="371"/>
      <c r="AP66" s="371"/>
      <c r="AQ66" s="371"/>
      <c r="AR66" s="371" t="n">
        <v>9.5</v>
      </c>
      <c r="AS66" s="371"/>
      <c r="AT66" s="371"/>
      <c r="AU66" s="378" t="n">
        <f aca="false">SUM(AE66:AT66)</f>
        <v>19.5</v>
      </c>
      <c r="AV66" s="371"/>
      <c r="AW66" s="371"/>
      <c r="AX66" s="371"/>
      <c r="AY66" s="371" t="n">
        <v>2</v>
      </c>
      <c r="AZ66" s="371" t="n">
        <v>1</v>
      </c>
      <c r="BA66" s="371"/>
      <c r="BB66" s="371"/>
      <c r="BC66" s="371"/>
      <c r="BD66" s="378" t="n">
        <f aca="false">SUM(AY66:BC66)</f>
        <v>3</v>
      </c>
      <c r="BE66" s="371" t="n">
        <v>4</v>
      </c>
      <c r="BF66" s="371" t="n">
        <v>4</v>
      </c>
      <c r="BG66" s="371" t="n">
        <v>4</v>
      </c>
      <c r="BH66" s="378" t="n">
        <f aca="false">+BE66+BF66+BG66</f>
        <v>12</v>
      </c>
      <c r="BI66" s="378" t="n">
        <v>4</v>
      </c>
      <c r="BJ66" s="371"/>
      <c r="BK66" s="371"/>
      <c r="BL66" s="371"/>
      <c r="BM66" s="371"/>
      <c r="BN66" s="371"/>
      <c r="BO66" s="371"/>
      <c r="BP66" s="371"/>
      <c r="BQ66" s="371"/>
      <c r="BR66" s="378" t="n">
        <f aca="false">+D66+K66+S66+AD66+AU66+AX66+BD66+BH66+BL66+BP66+BQ66+BI66</f>
        <v>45.5</v>
      </c>
    </row>
    <row r="67" customFormat="false" ht="13.2" hidden="false" customHeight="false" outlineLevel="0" collapsed="false">
      <c r="A67" s="354" t="n">
        <v>36747</v>
      </c>
      <c r="D67" s="371"/>
      <c r="F67" s="371"/>
      <c r="I67" s="371"/>
      <c r="J67" s="371"/>
      <c r="K67" s="371"/>
      <c r="N67" s="371"/>
      <c r="O67" s="371"/>
      <c r="P67" s="371"/>
      <c r="Q67" s="371"/>
      <c r="R67" s="371"/>
      <c r="S67" s="371"/>
      <c r="V67" s="371"/>
      <c r="W67" s="371" t="n">
        <v>2.5</v>
      </c>
      <c r="X67" s="371"/>
      <c r="Y67" s="371"/>
      <c r="Z67" s="371"/>
      <c r="AA67" s="371"/>
      <c r="AB67" s="371"/>
      <c r="AC67" s="371" t="n">
        <v>5</v>
      </c>
      <c r="AD67" s="378" t="n">
        <f aca="false">SUM(T67:AC67)</f>
        <v>7.5</v>
      </c>
      <c r="AE67" s="371"/>
      <c r="AF67" s="371"/>
      <c r="AG67" s="371" t="n">
        <v>5</v>
      </c>
      <c r="AH67" s="371"/>
      <c r="AI67" s="371"/>
      <c r="AJ67" s="371"/>
      <c r="AK67" s="371"/>
      <c r="AL67" s="371"/>
      <c r="AM67" s="371"/>
      <c r="AN67" s="371"/>
      <c r="AO67" s="371"/>
      <c r="AP67" s="371"/>
      <c r="AQ67" s="371"/>
      <c r="AR67" s="371" t="n">
        <v>0</v>
      </c>
      <c r="AS67" s="371"/>
      <c r="AT67" s="371"/>
      <c r="AU67" s="378" t="n">
        <f aca="false">SUM(AE67:AT67)</f>
        <v>5</v>
      </c>
      <c r="AV67" s="371"/>
      <c r="AW67" s="371"/>
      <c r="AX67" s="371"/>
      <c r="AY67" s="371"/>
      <c r="AZ67" s="371"/>
      <c r="BA67" s="371"/>
      <c r="BB67" s="371"/>
      <c r="BC67" s="371"/>
      <c r="BD67" s="378"/>
      <c r="BE67" s="371" t="n">
        <v>4</v>
      </c>
      <c r="BF67" s="371" t="n">
        <v>4</v>
      </c>
      <c r="BG67" s="371" t="n">
        <v>4</v>
      </c>
      <c r="BH67" s="378" t="n">
        <f aca="false">+BE67+BF67+BG67</f>
        <v>12</v>
      </c>
      <c r="BI67" s="378"/>
      <c r="BJ67" s="371"/>
      <c r="BK67" s="371"/>
      <c r="BL67" s="371"/>
      <c r="BM67" s="371"/>
      <c r="BN67" s="371"/>
      <c r="BO67" s="371"/>
      <c r="BP67" s="371"/>
      <c r="BQ67" s="371"/>
      <c r="BR67" s="378" t="n">
        <f aca="false">+D67+K67+S67+AD67+AU67+AX67+BD67+BH67+BL67+BP67+BQ67+BI67</f>
        <v>24.5</v>
      </c>
    </row>
    <row r="68" customFormat="false" ht="13.2" hidden="false" customHeight="false" outlineLevel="0" collapsed="false">
      <c r="A68" s="354" t="n">
        <v>36748</v>
      </c>
      <c r="D68" s="371"/>
      <c r="F68" s="371"/>
      <c r="I68" s="371"/>
      <c r="J68" s="371"/>
      <c r="K68" s="371"/>
      <c r="N68" s="371"/>
      <c r="O68" s="371"/>
      <c r="P68" s="371"/>
      <c r="Q68" s="371"/>
      <c r="R68" s="371"/>
      <c r="S68" s="371"/>
      <c r="V68" s="371"/>
      <c r="W68" s="371" t="n">
        <v>2</v>
      </c>
      <c r="X68" s="371"/>
      <c r="Y68" s="371"/>
      <c r="Z68" s="371"/>
      <c r="AA68" s="371"/>
      <c r="AB68" s="371"/>
      <c r="AC68" s="371" t="n">
        <v>0</v>
      </c>
      <c r="AD68" s="378" t="n">
        <f aca="false">SUM(T68:AC68)</f>
        <v>2</v>
      </c>
      <c r="AE68" s="371"/>
      <c r="AF68" s="371"/>
      <c r="AG68" s="371" t="n">
        <v>7</v>
      </c>
      <c r="AH68" s="371"/>
      <c r="AI68" s="371"/>
      <c r="AJ68" s="371"/>
      <c r="AK68" s="371"/>
      <c r="AL68" s="371"/>
      <c r="AM68" s="371"/>
      <c r="AN68" s="371"/>
      <c r="AO68" s="371"/>
      <c r="AP68" s="371"/>
      <c r="AQ68" s="371"/>
      <c r="AR68" s="371" t="n">
        <v>0</v>
      </c>
      <c r="AS68" s="371"/>
      <c r="AT68" s="371"/>
      <c r="AU68" s="378" t="n">
        <f aca="false">SUM(AE68:AT68)</f>
        <v>7</v>
      </c>
      <c r="AV68" s="371"/>
      <c r="AW68" s="371"/>
      <c r="AX68" s="371"/>
      <c r="AY68" s="371"/>
      <c r="AZ68" s="371"/>
      <c r="BA68" s="371"/>
      <c r="BB68" s="371"/>
      <c r="BC68" s="371"/>
      <c r="BD68" s="378"/>
      <c r="BE68" s="371" t="n">
        <v>4</v>
      </c>
      <c r="BF68" s="371" t="n">
        <v>4</v>
      </c>
      <c r="BG68" s="371" t="n">
        <v>4</v>
      </c>
      <c r="BH68" s="378" t="n">
        <f aca="false">+BE68+BF68+BG68</f>
        <v>12</v>
      </c>
      <c r="BI68" s="378" t="n">
        <v>2</v>
      </c>
      <c r="BJ68" s="371"/>
      <c r="BK68" s="371"/>
      <c r="BL68" s="371"/>
      <c r="BM68" s="371"/>
      <c r="BN68" s="371"/>
      <c r="BO68" s="371"/>
      <c r="BP68" s="371"/>
      <c r="BQ68" s="371"/>
      <c r="BR68" s="378" t="n">
        <f aca="false">+D68+K68+S68+AD68+AU68+AX68+BD68+BH68+BL68+BP68+BQ68+BI68</f>
        <v>23</v>
      </c>
    </row>
    <row r="69" customFormat="false" ht="13.2" hidden="false" customHeight="false" outlineLevel="0" collapsed="false">
      <c r="A69" s="354" t="n">
        <v>36749</v>
      </c>
      <c r="D69" s="371"/>
      <c r="F69" s="371"/>
      <c r="I69" s="371"/>
      <c r="J69" s="371"/>
      <c r="K69" s="371"/>
      <c r="N69" s="371"/>
      <c r="O69" s="371"/>
      <c r="P69" s="371"/>
      <c r="Q69" s="371"/>
      <c r="R69" s="371"/>
      <c r="S69" s="371"/>
      <c r="V69" s="371"/>
      <c r="W69" s="371"/>
      <c r="X69" s="371"/>
      <c r="Y69" s="371"/>
      <c r="Z69" s="371"/>
      <c r="AA69" s="371"/>
      <c r="AB69" s="371"/>
      <c r="AC69" s="371"/>
      <c r="AD69" s="378"/>
      <c r="AE69" s="371"/>
      <c r="AF69" s="371"/>
      <c r="AG69" s="371"/>
      <c r="AH69" s="371"/>
      <c r="AI69" s="371"/>
      <c r="AJ69" s="371"/>
      <c r="AK69" s="371"/>
      <c r="AL69" s="371"/>
      <c r="AM69" s="371"/>
      <c r="AN69" s="371"/>
      <c r="AO69" s="371"/>
      <c r="AP69" s="371"/>
      <c r="AQ69" s="371"/>
      <c r="AR69" s="371"/>
      <c r="AS69" s="371"/>
      <c r="AT69" s="371"/>
      <c r="AU69" s="378"/>
      <c r="AV69" s="371"/>
      <c r="AW69" s="371"/>
      <c r="AX69" s="371"/>
      <c r="AY69" s="371"/>
      <c r="AZ69" s="371"/>
      <c r="BA69" s="371"/>
      <c r="BB69" s="371"/>
      <c r="BC69" s="371"/>
      <c r="BD69" s="378"/>
      <c r="BE69" s="371"/>
      <c r="BF69" s="371"/>
      <c r="BG69" s="371"/>
      <c r="BH69" s="378"/>
      <c r="BI69" s="378"/>
      <c r="BJ69" s="371"/>
      <c r="BK69" s="371"/>
      <c r="BL69" s="371"/>
      <c r="BM69" s="371"/>
      <c r="BN69" s="371"/>
      <c r="BO69" s="371"/>
      <c r="BP69" s="371"/>
      <c r="BQ69" s="371"/>
      <c r="BR69" s="378" t="n">
        <f aca="false">+D69+K69+S69+AD69+AU69+AX69+BD69+BH69+BL69+BP69+BQ69+BI69</f>
        <v>0</v>
      </c>
    </row>
    <row r="70" customFormat="false" ht="13.2" hidden="false" customHeight="false" outlineLevel="0" collapsed="false">
      <c r="A70" s="354" t="n">
        <v>36750</v>
      </c>
      <c r="D70" s="371"/>
      <c r="F70" s="371"/>
      <c r="I70" s="371"/>
      <c r="J70" s="371"/>
      <c r="K70" s="371"/>
      <c r="N70" s="371"/>
      <c r="O70" s="371"/>
      <c r="P70" s="371"/>
      <c r="Q70" s="371"/>
      <c r="R70" s="371"/>
      <c r="S70" s="371"/>
      <c r="V70" s="371"/>
      <c r="W70" s="371"/>
      <c r="X70" s="371"/>
      <c r="Y70" s="371"/>
      <c r="Z70" s="371"/>
      <c r="AA70" s="371"/>
      <c r="AB70" s="371"/>
      <c r="AC70" s="371"/>
      <c r="AD70" s="378"/>
      <c r="AE70" s="371"/>
      <c r="AF70" s="371"/>
      <c r="AG70" s="371"/>
      <c r="AH70" s="371"/>
      <c r="AI70" s="371"/>
      <c r="AJ70" s="371"/>
      <c r="AK70" s="371"/>
      <c r="AL70" s="371"/>
      <c r="AM70" s="371"/>
      <c r="AN70" s="371"/>
      <c r="AO70" s="371"/>
      <c r="AP70" s="371"/>
      <c r="AQ70" s="371"/>
      <c r="AR70" s="371"/>
      <c r="AS70" s="371"/>
      <c r="AT70" s="371"/>
      <c r="AU70" s="378"/>
      <c r="AV70" s="371"/>
      <c r="AW70" s="371"/>
      <c r="AX70" s="371"/>
      <c r="AY70" s="371"/>
      <c r="AZ70" s="371"/>
      <c r="BA70" s="371"/>
      <c r="BB70" s="371"/>
      <c r="BC70" s="371"/>
      <c r="BD70" s="378"/>
      <c r="BE70" s="371" t="n">
        <v>0</v>
      </c>
      <c r="BF70" s="371" t="n">
        <v>5.5</v>
      </c>
      <c r="BG70" s="371" t="n">
        <v>4.5</v>
      </c>
      <c r="BH70" s="378" t="n">
        <f aca="false">+BE70+BF70+BG70</f>
        <v>10</v>
      </c>
      <c r="BI70" s="378" t="n">
        <v>3</v>
      </c>
      <c r="BJ70" s="371"/>
      <c r="BK70" s="371"/>
      <c r="BL70" s="371"/>
      <c r="BM70" s="371"/>
      <c r="BN70" s="371"/>
      <c r="BO70" s="371"/>
      <c r="BP70" s="371"/>
      <c r="BQ70" s="371"/>
      <c r="BR70" s="378" t="n">
        <f aca="false">+D70+K70+S70+AD70+AU70+AX70+BD70+BH70+BL70+BP70+BQ70+BI70</f>
        <v>13</v>
      </c>
    </row>
    <row r="71" customFormat="false" ht="13.2" hidden="false" customHeight="false" outlineLevel="0" collapsed="false">
      <c r="A71" s="354" t="n">
        <v>36751</v>
      </c>
      <c r="D71" s="371"/>
      <c r="F71" s="371"/>
      <c r="I71" s="371"/>
      <c r="J71" s="371"/>
      <c r="K71" s="371"/>
      <c r="N71" s="371"/>
      <c r="O71" s="371"/>
      <c r="P71" s="371"/>
      <c r="Q71" s="371"/>
      <c r="R71" s="371"/>
      <c r="S71" s="371"/>
      <c r="V71" s="371"/>
      <c r="W71" s="371"/>
      <c r="X71" s="371"/>
      <c r="Y71" s="371"/>
      <c r="Z71" s="371"/>
      <c r="AA71" s="371"/>
      <c r="AB71" s="371"/>
      <c r="AC71" s="371"/>
      <c r="AD71" s="371"/>
      <c r="AE71" s="371"/>
      <c r="AF71" s="371"/>
      <c r="AG71" s="371"/>
      <c r="AH71" s="371"/>
      <c r="AI71" s="371"/>
      <c r="AJ71" s="371"/>
      <c r="AK71" s="371"/>
      <c r="AL71" s="371"/>
      <c r="AM71" s="371"/>
      <c r="AN71" s="371"/>
      <c r="AO71" s="371"/>
      <c r="AP71" s="371"/>
      <c r="AQ71" s="371"/>
      <c r="AR71" s="371"/>
      <c r="AS71" s="371"/>
      <c r="AT71" s="371"/>
      <c r="AU71" s="378"/>
      <c r="AV71" s="371"/>
      <c r="AW71" s="371"/>
      <c r="AX71" s="371"/>
      <c r="AY71" s="371"/>
      <c r="AZ71" s="371"/>
      <c r="BA71" s="371"/>
      <c r="BB71" s="371"/>
      <c r="BC71" s="371"/>
      <c r="BD71" s="378"/>
      <c r="BE71" s="371"/>
      <c r="BF71" s="371"/>
      <c r="BG71" s="371"/>
      <c r="BH71" s="378"/>
      <c r="BI71" s="378" t="n">
        <v>4</v>
      </c>
      <c r="BJ71" s="371"/>
      <c r="BK71" s="371"/>
      <c r="BL71" s="371"/>
      <c r="BM71" s="371"/>
      <c r="BN71" s="371"/>
      <c r="BO71" s="371"/>
      <c r="BP71" s="371"/>
      <c r="BQ71" s="371"/>
      <c r="BR71" s="378" t="n">
        <f aca="false">+D71+K71+S71+AD71+AU71+AX71+BD71+BH71+BL71+BP71+BQ71+BI71</f>
        <v>4</v>
      </c>
    </row>
    <row r="72" customFormat="false" ht="13.2" hidden="false" customHeight="false" outlineLevel="0" collapsed="false">
      <c r="A72" s="354" t="n">
        <v>37117</v>
      </c>
      <c r="D72" s="371"/>
      <c r="F72" s="371"/>
      <c r="I72" s="371"/>
      <c r="J72" s="371"/>
      <c r="K72" s="371"/>
      <c r="N72" s="371"/>
      <c r="O72" s="371"/>
      <c r="P72" s="371"/>
      <c r="Q72" s="371"/>
      <c r="R72" s="371"/>
      <c r="S72" s="371"/>
      <c r="V72" s="371"/>
      <c r="W72" s="371"/>
      <c r="X72" s="371"/>
      <c r="Y72" s="371"/>
      <c r="Z72" s="371"/>
      <c r="AA72" s="371"/>
      <c r="AB72" s="371"/>
      <c r="AC72" s="371"/>
      <c r="AD72" s="371"/>
      <c r="AE72" s="371"/>
      <c r="AF72" s="371"/>
      <c r="AG72" s="371" t="n">
        <v>4</v>
      </c>
      <c r="AH72" s="371"/>
      <c r="AI72" s="371"/>
      <c r="AJ72" s="371"/>
      <c r="AK72" s="371"/>
      <c r="AL72" s="371"/>
      <c r="AM72" s="371"/>
      <c r="AN72" s="371"/>
      <c r="AO72" s="371"/>
      <c r="AP72" s="371"/>
      <c r="AQ72" s="371"/>
      <c r="AR72" s="371" t="n">
        <v>1.5</v>
      </c>
      <c r="AS72" s="371"/>
      <c r="AT72" s="371"/>
      <c r="AU72" s="378" t="n">
        <f aca="false">SUM(AE72:AT72)</f>
        <v>5.5</v>
      </c>
      <c r="AV72" s="371"/>
      <c r="AW72" s="371"/>
      <c r="AX72" s="371"/>
      <c r="AY72" s="371"/>
      <c r="AZ72" s="371"/>
      <c r="BA72" s="371"/>
      <c r="BB72" s="371"/>
      <c r="BC72" s="371"/>
      <c r="BD72" s="378"/>
      <c r="BE72" s="371"/>
      <c r="BF72" s="371"/>
      <c r="BG72" s="371"/>
      <c r="BH72" s="378"/>
      <c r="BI72" s="378" t="n">
        <v>4</v>
      </c>
      <c r="BJ72" s="371"/>
      <c r="BK72" s="371"/>
      <c r="BL72" s="371"/>
      <c r="BM72" s="371"/>
      <c r="BN72" s="371"/>
      <c r="BO72" s="371"/>
      <c r="BP72" s="371"/>
      <c r="BQ72" s="371"/>
      <c r="BR72" s="378" t="n">
        <f aca="false">+D72+K72+S72+AD72+AU72+AX72+BD72+BH72+BL72+BP72+BQ72+BI72</f>
        <v>9.5</v>
      </c>
    </row>
    <row r="73" customFormat="false" ht="13.2" hidden="false" customHeight="false" outlineLevel="0" collapsed="false">
      <c r="A73" s="354" t="n">
        <v>37118</v>
      </c>
      <c r="D73" s="371"/>
      <c r="F73" s="371"/>
      <c r="I73" s="371"/>
      <c r="J73" s="371"/>
      <c r="K73" s="371"/>
      <c r="N73" s="371"/>
      <c r="O73" s="371"/>
      <c r="P73" s="371"/>
      <c r="Q73" s="371"/>
      <c r="R73" s="371"/>
      <c r="S73" s="371"/>
      <c r="V73" s="371"/>
      <c r="W73" s="371"/>
      <c r="X73" s="371"/>
      <c r="Y73" s="371"/>
      <c r="Z73" s="371"/>
      <c r="AA73" s="371"/>
      <c r="AB73" s="371"/>
      <c r="AC73" s="371"/>
      <c r="AD73" s="371"/>
      <c r="AE73" s="371"/>
      <c r="AF73" s="371"/>
      <c r="AG73" s="371"/>
      <c r="AH73" s="371"/>
      <c r="AI73" s="371"/>
      <c r="AJ73" s="371"/>
      <c r="AK73" s="371"/>
      <c r="AL73" s="371"/>
      <c r="AM73" s="371"/>
      <c r="AN73" s="371"/>
      <c r="AO73" s="371"/>
      <c r="AP73" s="371"/>
      <c r="AQ73" s="371"/>
      <c r="AR73" s="371"/>
      <c r="AS73" s="371"/>
      <c r="AT73" s="371"/>
      <c r="AU73" s="371"/>
      <c r="AV73" s="371"/>
      <c r="AW73" s="371"/>
      <c r="AX73" s="371"/>
      <c r="AY73" s="371" t="n">
        <v>0</v>
      </c>
      <c r="AZ73" s="371" t="n">
        <v>2.5</v>
      </c>
      <c r="BA73" s="371"/>
      <c r="BB73" s="371"/>
      <c r="BC73" s="371"/>
      <c r="BD73" s="378" t="n">
        <f aca="false">SUM(AY73:BC73)</f>
        <v>2.5</v>
      </c>
      <c r="BE73" s="371" t="n">
        <v>4</v>
      </c>
      <c r="BF73" s="371" t="n">
        <v>4</v>
      </c>
      <c r="BG73" s="371" t="n">
        <v>4.5</v>
      </c>
      <c r="BH73" s="378" t="n">
        <f aca="false">+BE73+BF73+BG73</f>
        <v>12.5</v>
      </c>
      <c r="BI73" s="378" t="n">
        <v>4</v>
      </c>
      <c r="BJ73" s="371"/>
      <c r="BK73" s="371"/>
      <c r="BL73" s="371"/>
      <c r="BM73" s="371"/>
      <c r="BN73" s="371"/>
      <c r="BO73" s="371"/>
      <c r="BP73" s="371"/>
      <c r="BQ73" s="371"/>
      <c r="BR73" s="378" t="n">
        <f aca="false">+D73+K73+S73+AD73+AU73+AX73+BD73+BH73+BL73+BP73+BQ73+BI73</f>
        <v>19</v>
      </c>
    </row>
    <row r="74" customFormat="false" ht="13.2" hidden="false" customHeight="false" outlineLevel="0" collapsed="false">
      <c r="A74" s="354" t="n">
        <v>37119</v>
      </c>
      <c r="D74" s="371"/>
      <c r="F74" s="371"/>
      <c r="I74" s="371"/>
      <c r="J74" s="371"/>
      <c r="K74" s="371"/>
      <c r="N74" s="371"/>
      <c r="O74" s="371"/>
      <c r="P74" s="371"/>
      <c r="Q74" s="371"/>
      <c r="R74" s="371"/>
      <c r="S74" s="371"/>
      <c r="V74" s="371"/>
      <c r="W74" s="371"/>
      <c r="X74" s="371"/>
      <c r="Y74" s="371"/>
      <c r="Z74" s="371"/>
      <c r="AA74" s="371"/>
      <c r="AB74" s="371"/>
      <c r="AC74" s="371"/>
      <c r="AD74" s="371"/>
      <c r="AE74" s="371"/>
      <c r="AF74" s="371"/>
      <c r="AG74" s="371"/>
      <c r="AH74" s="371"/>
      <c r="AI74" s="371"/>
      <c r="AJ74" s="371"/>
      <c r="AK74" s="371"/>
      <c r="AL74" s="371"/>
      <c r="AM74" s="371"/>
      <c r="AN74" s="371"/>
      <c r="AO74" s="371"/>
      <c r="AP74" s="371"/>
      <c r="AQ74" s="371"/>
      <c r="AR74" s="371"/>
      <c r="AS74" s="371"/>
      <c r="AT74" s="371"/>
      <c r="AU74" s="371"/>
      <c r="AV74" s="371"/>
      <c r="AW74" s="371"/>
      <c r="AX74" s="371"/>
      <c r="AY74" s="371"/>
      <c r="AZ74" s="371"/>
      <c r="BA74" s="371"/>
      <c r="BB74" s="371"/>
      <c r="BC74" s="371"/>
      <c r="BD74" s="378"/>
      <c r="BE74" s="371" t="n">
        <v>4</v>
      </c>
      <c r="BF74" s="371" t="n">
        <v>4</v>
      </c>
      <c r="BG74" s="371" t="n">
        <v>4</v>
      </c>
      <c r="BH74" s="378" t="n">
        <f aca="false">+BE74+BF74+BG74</f>
        <v>12</v>
      </c>
      <c r="BI74" s="378" t="n">
        <v>4</v>
      </c>
      <c r="BJ74" s="371"/>
      <c r="BK74" s="371"/>
      <c r="BL74" s="371"/>
      <c r="BM74" s="371"/>
      <c r="BN74" s="371"/>
      <c r="BO74" s="371"/>
      <c r="BP74" s="371"/>
      <c r="BQ74" s="371"/>
      <c r="BR74" s="378" t="n">
        <f aca="false">+D74+K74+S74+AD74+AU74+AX74+BD74+BH74+BL74+BP74+BQ74+BI74</f>
        <v>16</v>
      </c>
    </row>
    <row r="75" customFormat="false" ht="13.2" hidden="false" customHeight="false" outlineLevel="0" collapsed="false">
      <c r="A75" s="354" t="n">
        <v>37120</v>
      </c>
      <c r="D75" s="371"/>
      <c r="F75" s="371"/>
      <c r="I75" s="371"/>
      <c r="J75" s="371"/>
      <c r="K75" s="371"/>
      <c r="N75" s="371"/>
      <c r="O75" s="371"/>
      <c r="P75" s="371"/>
      <c r="Q75" s="371"/>
      <c r="R75" s="371"/>
      <c r="S75" s="371"/>
      <c r="V75" s="371"/>
      <c r="W75" s="371"/>
      <c r="X75" s="371"/>
      <c r="Y75" s="371"/>
      <c r="Z75" s="371"/>
      <c r="AA75" s="371"/>
      <c r="AB75" s="371"/>
      <c r="AC75" s="371"/>
      <c r="AD75" s="371"/>
      <c r="AE75" s="371"/>
      <c r="AF75" s="371"/>
      <c r="AG75" s="371"/>
      <c r="AH75" s="371"/>
      <c r="AI75" s="371"/>
      <c r="AJ75" s="371"/>
      <c r="AK75" s="371"/>
      <c r="AL75" s="371"/>
      <c r="AM75" s="371"/>
      <c r="AN75" s="371"/>
      <c r="AO75" s="371"/>
      <c r="AP75" s="371"/>
      <c r="AQ75" s="371"/>
      <c r="AR75" s="371"/>
      <c r="AS75" s="371"/>
      <c r="AT75" s="371"/>
      <c r="AU75" s="371"/>
      <c r="AV75" s="371"/>
      <c r="AW75" s="371"/>
      <c r="AX75" s="371"/>
      <c r="AY75" s="371"/>
      <c r="AZ75" s="371"/>
      <c r="BA75" s="371"/>
      <c r="BB75" s="371"/>
      <c r="BC75" s="371"/>
      <c r="BD75" s="371"/>
      <c r="BE75" s="371" t="n">
        <v>4</v>
      </c>
      <c r="BF75" s="371" t="n">
        <v>4</v>
      </c>
      <c r="BG75" s="371" t="n">
        <v>4</v>
      </c>
      <c r="BH75" s="378" t="n">
        <f aca="false">+BE75+BF75+BG75</f>
        <v>12</v>
      </c>
      <c r="BI75" s="378" t="n">
        <v>4</v>
      </c>
      <c r="BJ75" s="371"/>
      <c r="BK75" s="371"/>
      <c r="BL75" s="371"/>
      <c r="BM75" s="371"/>
      <c r="BN75" s="371"/>
      <c r="BO75" s="371"/>
      <c r="BP75" s="371"/>
      <c r="BQ75" s="371"/>
      <c r="BR75" s="378" t="n">
        <f aca="false">+D75+K75+S75+AD75+AU75+AX75+BD75+BH75+BL75+BP75+BQ75+BI75</f>
        <v>16</v>
      </c>
    </row>
    <row r="76" customFormat="false" ht="13.2" hidden="false" customHeight="false" outlineLevel="0" collapsed="false">
      <c r="A76" s="354" t="n">
        <v>37121</v>
      </c>
      <c r="D76" s="371"/>
      <c r="F76" s="371"/>
      <c r="I76" s="371"/>
      <c r="J76" s="371"/>
      <c r="K76" s="371"/>
      <c r="N76" s="371"/>
      <c r="O76" s="371"/>
      <c r="P76" s="371"/>
      <c r="Q76" s="371"/>
      <c r="R76" s="371"/>
      <c r="S76" s="371"/>
      <c r="V76" s="371"/>
      <c r="W76" s="371"/>
      <c r="X76" s="371"/>
      <c r="Y76" s="371"/>
      <c r="Z76" s="371"/>
      <c r="AA76" s="371"/>
      <c r="AB76" s="371"/>
      <c r="AC76" s="371"/>
      <c r="AD76" s="371"/>
      <c r="AE76" s="371"/>
      <c r="AF76" s="371"/>
      <c r="AG76" s="371"/>
      <c r="AH76" s="371"/>
      <c r="AI76" s="371"/>
      <c r="AJ76" s="371"/>
      <c r="AK76" s="371"/>
      <c r="AL76" s="371"/>
      <c r="AM76" s="371"/>
      <c r="AN76" s="371"/>
      <c r="AO76" s="371"/>
      <c r="AP76" s="371"/>
      <c r="AQ76" s="371"/>
      <c r="AR76" s="371"/>
      <c r="AS76" s="371"/>
      <c r="AT76" s="371"/>
      <c r="AU76" s="371"/>
      <c r="AV76" s="371"/>
      <c r="AW76" s="371"/>
      <c r="AX76" s="371"/>
      <c r="AY76" s="371"/>
      <c r="AZ76" s="371"/>
      <c r="BA76" s="371"/>
      <c r="BB76" s="371"/>
      <c r="BC76" s="371"/>
      <c r="BD76" s="371"/>
      <c r="BE76" s="371" t="n">
        <v>0</v>
      </c>
      <c r="BF76" s="371" t="n">
        <v>4</v>
      </c>
      <c r="BG76" s="371" t="n">
        <v>4</v>
      </c>
      <c r="BH76" s="378" t="n">
        <f aca="false">+BE76+BF76+BG76</f>
        <v>8</v>
      </c>
      <c r="BI76" s="378" t="n">
        <v>3</v>
      </c>
      <c r="BJ76" s="371"/>
      <c r="BK76" s="371"/>
      <c r="BL76" s="371"/>
      <c r="BM76" s="371"/>
      <c r="BN76" s="371"/>
      <c r="BO76" s="371"/>
      <c r="BP76" s="371"/>
      <c r="BQ76" s="371"/>
      <c r="BR76" s="378" t="n">
        <f aca="false">+D76+K76+S76+AD76+AU76+AX76+BD76+BH76+BL76+BP76+BQ76+BI76</f>
        <v>11</v>
      </c>
    </row>
    <row r="77" customFormat="false" ht="13.2" hidden="false" customHeight="false" outlineLevel="0" collapsed="false">
      <c r="A77" s="354" t="n">
        <v>37122</v>
      </c>
      <c r="D77" s="371"/>
      <c r="F77" s="371"/>
      <c r="I77" s="371"/>
      <c r="J77" s="371"/>
      <c r="K77" s="371"/>
      <c r="N77" s="371"/>
      <c r="O77" s="371"/>
      <c r="P77" s="371"/>
      <c r="Q77" s="371"/>
      <c r="R77" s="371"/>
      <c r="S77" s="371"/>
      <c r="V77" s="371"/>
      <c r="W77" s="371"/>
      <c r="X77" s="371"/>
      <c r="Y77" s="371"/>
      <c r="Z77" s="371"/>
      <c r="AA77" s="371"/>
      <c r="AB77" s="371"/>
      <c r="AC77" s="371"/>
      <c r="AD77" s="371"/>
      <c r="AE77" s="371"/>
      <c r="AF77" s="371"/>
      <c r="AG77" s="371"/>
      <c r="AH77" s="371"/>
      <c r="AI77" s="371"/>
      <c r="AJ77" s="371"/>
      <c r="AK77" s="371"/>
      <c r="AL77" s="371"/>
      <c r="AM77" s="371"/>
      <c r="AN77" s="371"/>
      <c r="AO77" s="371"/>
      <c r="AP77" s="371"/>
      <c r="AQ77" s="371"/>
      <c r="AR77" s="371"/>
      <c r="AS77" s="371"/>
      <c r="AT77" s="371"/>
      <c r="AU77" s="371"/>
      <c r="AV77" s="371"/>
      <c r="AW77" s="371"/>
      <c r="AX77" s="371"/>
      <c r="AY77" s="371"/>
      <c r="AZ77" s="371"/>
      <c r="BA77" s="371"/>
      <c r="BB77" s="371"/>
      <c r="BC77" s="371"/>
      <c r="BD77" s="371"/>
      <c r="BE77" s="371" t="n">
        <v>4</v>
      </c>
      <c r="BF77" s="371" t="n">
        <v>4</v>
      </c>
      <c r="BG77" s="371" t="n">
        <v>4</v>
      </c>
      <c r="BH77" s="378" t="n">
        <f aca="false">+BE77+BF77+BG77</f>
        <v>12</v>
      </c>
      <c r="BI77" s="378" t="n">
        <v>4</v>
      </c>
      <c r="BJ77" s="371"/>
      <c r="BK77" s="371"/>
      <c r="BL77" s="371"/>
      <c r="BM77" s="371"/>
      <c r="BN77" s="371"/>
      <c r="BO77" s="371"/>
      <c r="BP77" s="371"/>
      <c r="BQ77" s="371"/>
      <c r="BR77" s="378" t="n">
        <f aca="false">+D77+K77+S77+AD77+AU77+AX77+BD77+BH77+BL77+BP77+BQ77+BI77</f>
        <v>16</v>
      </c>
    </row>
    <row r="78" customFormat="false" ht="13.2" hidden="false" customHeight="false" outlineLevel="0" collapsed="false">
      <c r="A78" s="354" t="n">
        <v>37123</v>
      </c>
      <c r="D78" s="371"/>
      <c r="F78" s="371"/>
      <c r="I78" s="371"/>
      <c r="J78" s="371"/>
      <c r="K78" s="371"/>
      <c r="N78" s="371"/>
      <c r="O78" s="371"/>
      <c r="P78" s="371"/>
      <c r="Q78" s="371"/>
      <c r="R78" s="371"/>
      <c r="S78" s="371"/>
      <c r="V78" s="371"/>
      <c r="W78" s="371"/>
      <c r="X78" s="371"/>
      <c r="Y78" s="371"/>
      <c r="Z78" s="371"/>
      <c r="AA78" s="371"/>
      <c r="AB78" s="371"/>
      <c r="AC78" s="371"/>
      <c r="AD78" s="371"/>
      <c r="AE78" s="371"/>
      <c r="AF78" s="371"/>
      <c r="AG78" s="371"/>
      <c r="AH78" s="371"/>
      <c r="AI78" s="371"/>
      <c r="AJ78" s="371"/>
      <c r="AK78" s="371"/>
      <c r="AL78" s="371"/>
      <c r="AM78" s="371"/>
      <c r="AN78" s="371"/>
      <c r="AO78" s="371"/>
      <c r="AP78" s="371"/>
      <c r="AQ78" s="371"/>
      <c r="AR78" s="371"/>
      <c r="AS78" s="371"/>
      <c r="AT78" s="371"/>
      <c r="AU78" s="371"/>
      <c r="AV78" s="371"/>
      <c r="AW78" s="371"/>
      <c r="AX78" s="371"/>
      <c r="AY78" s="371"/>
      <c r="AZ78" s="371"/>
      <c r="BA78" s="371"/>
      <c r="BB78" s="371"/>
      <c r="BC78" s="371"/>
      <c r="BD78" s="371"/>
      <c r="BE78" s="371" t="n">
        <v>4</v>
      </c>
      <c r="BF78" s="371" t="n">
        <v>4</v>
      </c>
      <c r="BG78" s="371" t="n">
        <v>4</v>
      </c>
      <c r="BH78" s="378" t="n">
        <f aca="false">+BE78+BF78+BG78</f>
        <v>12</v>
      </c>
      <c r="BI78" s="378"/>
      <c r="BJ78" s="371"/>
      <c r="BK78" s="371"/>
      <c r="BL78" s="371"/>
      <c r="BM78" s="371"/>
      <c r="BN78" s="371"/>
      <c r="BO78" s="371"/>
      <c r="BP78" s="371"/>
      <c r="BQ78" s="371"/>
      <c r="BR78" s="378" t="n">
        <f aca="false">+D78+K78+S78+AD78+AU78+AX78+BD78+BH78+BL78+BP78+BQ78+BI78</f>
        <v>12</v>
      </c>
    </row>
    <row r="79" customFormat="false" ht="9.6" hidden="false" customHeight="true" outlineLevel="0" collapsed="false">
      <c r="B79" s="383"/>
      <c r="C79" s="383"/>
      <c r="D79" s="383"/>
      <c r="E79" s="383"/>
      <c r="F79" s="384"/>
      <c r="G79" s="383"/>
      <c r="H79" s="383"/>
      <c r="I79" s="384"/>
      <c r="J79" s="384"/>
      <c r="K79" s="384"/>
      <c r="L79" s="383"/>
      <c r="M79" s="383"/>
      <c r="N79" s="384"/>
      <c r="O79" s="384"/>
      <c r="P79" s="384"/>
      <c r="Q79" s="384"/>
      <c r="R79" s="384"/>
      <c r="S79" s="384"/>
      <c r="T79" s="383"/>
      <c r="U79" s="383"/>
      <c r="V79" s="384"/>
      <c r="W79" s="384"/>
      <c r="X79" s="384"/>
      <c r="Y79" s="384"/>
      <c r="Z79" s="384"/>
      <c r="AA79" s="384"/>
      <c r="AB79" s="384"/>
      <c r="AC79" s="384"/>
      <c r="AD79" s="384"/>
      <c r="AE79" s="384"/>
      <c r="AF79" s="384"/>
      <c r="AG79" s="384"/>
      <c r="AH79" s="384"/>
      <c r="AI79" s="384"/>
      <c r="AJ79" s="384"/>
      <c r="AK79" s="384"/>
      <c r="AL79" s="384"/>
      <c r="AM79" s="384"/>
      <c r="AN79" s="384"/>
      <c r="AO79" s="384"/>
      <c r="AP79" s="384"/>
      <c r="AQ79" s="384"/>
      <c r="AR79" s="384"/>
      <c r="AS79" s="384"/>
      <c r="AT79" s="384"/>
      <c r="AU79" s="384"/>
      <c r="AV79" s="384"/>
      <c r="AW79" s="384"/>
      <c r="AX79" s="384"/>
      <c r="AY79" s="384"/>
      <c r="AZ79" s="384"/>
      <c r="BA79" s="384"/>
      <c r="BB79" s="384"/>
      <c r="BC79" s="384"/>
      <c r="BD79" s="384"/>
      <c r="BE79" s="384"/>
      <c r="BF79" s="384"/>
      <c r="BG79" s="384"/>
      <c r="BH79" s="384"/>
      <c r="BI79" s="384"/>
      <c r="BJ79" s="384"/>
      <c r="BK79" s="384"/>
      <c r="BL79" s="384"/>
      <c r="BM79" s="384"/>
      <c r="BN79" s="384"/>
      <c r="BO79" s="384"/>
      <c r="BP79" s="384"/>
      <c r="BQ79" s="384"/>
      <c r="BR79" s="384"/>
    </row>
    <row r="80" customFormat="false" ht="36" hidden="false" customHeight="true" outlineLevel="0" collapsed="false">
      <c r="A80" s="354" t="s">
        <v>573</v>
      </c>
      <c r="B80" s="401"/>
      <c r="C80" s="401"/>
      <c r="D80" s="402" t="n">
        <f aca="false">SUM(D50:D79)</f>
        <v>0</v>
      </c>
      <c r="E80" s="401"/>
      <c r="F80" s="401"/>
      <c r="G80" s="401"/>
      <c r="H80" s="401"/>
      <c r="I80" s="401"/>
      <c r="J80" s="401"/>
      <c r="K80" s="402" t="n">
        <f aca="false">SUM(K50:K79)</f>
        <v>159.5</v>
      </c>
      <c r="L80" s="401"/>
      <c r="M80" s="401"/>
      <c r="N80" s="401"/>
      <c r="O80" s="401"/>
      <c r="P80" s="401"/>
      <c r="Q80" s="401"/>
      <c r="R80" s="401"/>
      <c r="S80" s="402" t="n">
        <f aca="false">SUM(S50:S79)</f>
        <v>32.5</v>
      </c>
      <c r="T80" s="401"/>
      <c r="U80" s="401"/>
      <c r="V80" s="401"/>
      <c r="W80" s="401"/>
      <c r="X80" s="401"/>
      <c r="Y80" s="401"/>
      <c r="Z80" s="401"/>
      <c r="AA80" s="401"/>
      <c r="AB80" s="401"/>
      <c r="AC80" s="401"/>
      <c r="AD80" s="402" t="n">
        <f aca="false">SUM(AD50:AD79)</f>
        <v>262</v>
      </c>
      <c r="AE80" s="401"/>
      <c r="AF80" s="401"/>
      <c r="AG80" s="401"/>
      <c r="AH80" s="401"/>
      <c r="AI80" s="401"/>
      <c r="AJ80" s="401"/>
      <c r="AK80" s="401"/>
      <c r="AL80" s="401"/>
      <c r="AM80" s="401"/>
      <c r="AN80" s="401"/>
      <c r="AO80" s="401"/>
      <c r="AP80" s="401"/>
      <c r="AQ80" s="401"/>
      <c r="AR80" s="401"/>
      <c r="AS80" s="401"/>
      <c r="AT80" s="401"/>
      <c r="AU80" s="402" t="n">
        <f aca="false">SUM(AU50:AU79)</f>
        <v>596</v>
      </c>
      <c r="AV80" s="401"/>
      <c r="AW80" s="401"/>
      <c r="AX80" s="402" t="n">
        <f aca="false">SUM(AX50:AX79)</f>
        <v>19</v>
      </c>
      <c r="AY80" s="401"/>
      <c r="AZ80" s="401"/>
      <c r="BA80" s="401"/>
      <c r="BB80" s="401"/>
      <c r="BC80" s="401"/>
      <c r="BD80" s="402" t="n">
        <f aca="false">SUM(BD50:BD79)</f>
        <v>152</v>
      </c>
      <c r="BE80" s="401"/>
      <c r="BF80" s="401"/>
      <c r="BG80" s="401"/>
      <c r="BH80" s="402" t="n">
        <f aca="false">SUM(BH50:BH79)</f>
        <v>222.5</v>
      </c>
      <c r="BI80" s="402" t="n">
        <f aca="false">SUM(BI50:BI79)</f>
        <v>64</v>
      </c>
      <c r="BJ80" s="401"/>
      <c r="BK80" s="401"/>
      <c r="BL80" s="402" t="n">
        <f aca="false">SUM(BL50:BL79)</f>
        <v>28</v>
      </c>
      <c r="BM80" s="401"/>
      <c r="BN80" s="401"/>
      <c r="BO80" s="401"/>
      <c r="BP80" s="402" t="n">
        <f aca="false">SUM(BP50:BP79)</f>
        <v>6</v>
      </c>
      <c r="BQ80" s="402" t="n">
        <f aca="false">SUM(BQ50:BQ79)</f>
        <v>10</v>
      </c>
      <c r="BR80" s="378" t="n">
        <f aca="false">SUM(BR50:BR79)</f>
        <v>1551.5</v>
      </c>
      <c r="CA80" s="403"/>
      <c r="CB80" s="403"/>
      <c r="CC80" s="403"/>
      <c r="CD80" s="403"/>
      <c r="CE80" s="403"/>
      <c r="CF80" s="403"/>
      <c r="CG80" s="403"/>
      <c r="CH80" s="403"/>
      <c r="CI80" s="403"/>
      <c r="CJ80" s="403"/>
      <c r="CK80" s="403"/>
      <c r="CL80" s="403"/>
      <c r="CM80" s="403"/>
      <c r="CN80" s="403"/>
      <c r="CO80" s="403"/>
      <c r="CP80" s="403"/>
      <c r="CQ80" s="403"/>
      <c r="CR80" s="403"/>
      <c r="CS80" s="403"/>
      <c r="CT80" s="403"/>
      <c r="CU80" s="403"/>
      <c r="CV80" s="403"/>
      <c r="CW80" s="403"/>
      <c r="CX80" s="403"/>
      <c r="CY80" s="403"/>
      <c r="CZ80" s="403"/>
      <c r="DA80" s="403"/>
      <c r="DB80" s="403"/>
      <c r="DC80" s="403"/>
      <c r="DD80" s="403"/>
      <c r="DE80" s="403"/>
      <c r="DF80" s="403"/>
      <c r="DG80" s="403"/>
      <c r="DH80" s="403"/>
      <c r="DI80" s="403"/>
      <c r="DJ80" s="403"/>
      <c r="DK80" s="403"/>
      <c r="DL80" s="403"/>
      <c r="DM80" s="403"/>
      <c r="DN80" s="403"/>
      <c r="DO80" s="403"/>
      <c r="DP80" s="403"/>
      <c r="DQ80" s="403"/>
      <c r="DR80" s="403"/>
      <c r="DS80" s="403"/>
      <c r="DT80" s="403"/>
      <c r="DU80" s="403"/>
      <c r="DV80" s="403"/>
      <c r="DW80" s="403"/>
      <c r="DX80" s="403"/>
      <c r="DY80" s="403"/>
      <c r="DZ80" s="403"/>
      <c r="EA80" s="403"/>
      <c r="EB80" s="403"/>
      <c r="EC80" s="403"/>
      <c r="ED80" s="403"/>
      <c r="EE80" s="403"/>
      <c r="EF80" s="403"/>
      <c r="EG80" s="403"/>
      <c r="EH80" s="403"/>
      <c r="EI80" s="403"/>
      <c r="EJ80" s="403"/>
      <c r="EK80" s="403"/>
      <c r="EL80" s="403"/>
      <c r="EM80" s="403"/>
      <c r="EN80" s="403"/>
      <c r="EO80" s="403"/>
      <c r="EP80" s="403"/>
      <c r="EQ80" s="403"/>
      <c r="ER80" s="403"/>
      <c r="ES80" s="403"/>
      <c r="ET80" s="403"/>
      <c r="EU80" s="403"/>
      <c r="EV80" s="403"/>
      <c r="EW80" s="403"/>
      <c r="EX80" s="403"/>
      <c r="EY80" s="403"/>
      <c r="EZ80" s="403"/>
      <c r="FA80" s="403"/>
      <c r="FB80" s="403"/>
      <c r="FC80" s="403"/>
      <c r="FD80" s="403"/>
      <c r="FE80" s="403"/>
      <c r="FF80" s="403"/>
      <c r="FG80" s="403"/>
      <c r="FH80" s="403"/>
      <c r="FI80" s="403"/>
      <c r="FJ80" s="403"/>
      <c r="FK80" s="403"/>
      <c r="FL80" s="403"/>
      <c r="FM80" s="403"/>
      <c r="FN80" s="403"/>
      <c r="FO80" s="403"/>
      <c r="FP80" s="403"/>
      <c r="FQ80" s="403"/>
      <c r="FR80" s="403"/>
      <c r="FS80" s="403"/>
      <c r="FT80" s="403"/>
      <c r="FU80" s="403"/>
      <c r="FV80" s="403"/>
      <c r="FW80" s="403"/>
      <c r="FX80" s="403"/>
      <c r="FY80" s="403"/>
      <c r="FZ80" s="403"/>
      <c r="GA80" s="403"/>
      <c r="GB80" s="403"/>
      <c r="GC80" s="403"/>
      <c r="GD80" s="403"/>
      <c r="GE80" s="403"/>
      <c r="GF80" s="403"/>
      <c r="GG80" s="403"/>
      <c r="GH80" s="403"/>
      <c r="GI80" s="403"/>
      <c r="GJ80" s="403"/>
      <c r="GK80" s="403"/>
      <c r="GL80" s="403"/>
      <c r="GM80" s="403"/>
      <c r="GN80" s="403"/>
      <c r="GO80" s="403"/>
      <c r="GP80" s="403"/>
      <c r="GQ80" s="403"/>
      <c r="GR80" s="403"/>
      <c r="GS80" s="403"/>
      <c r="GT80" s="403"/>
      <c r="GU80" s="403"/>
      <c r="GV80" s="403"/>
      <c r="GW80" s="403"/>
      <c r="GX80" s="403"/>
      <c r="GY80" s="403"/>
      <c r="GZ80" s="403"/>
      <c r="HA80" s="403"/>
      <c r="HB80" s="403"/>
      <c r="HC80" s="403"/>
      <c r="HD80" s="403"/>
      <c r="HE80" s="403"/>
      <c r="HF80" s="403"/>
      <c r="HG80" s="403"/>
      <c r="HH80" s="403"/>
      <c r="HI80" s="403"/>
      <c r="HJ80" s="403"/>
      <c r="HK80" s="403"/>
      <c r="HL80" s="403"/>
      <c r="HM80" s="403"/>
      <c r="HN80" s="403"/>
      <c r="HO80" s="403"/>
      <c r="HP80" s="403"/>
      <c r="HQ80" s="403"/>
      <c r="HR80" s="403"/>
      <c r="HS80" s="403"/>
      <c r="HT80" s="403"/>
      <c r="HU80" s="403"/>
      <c r="HV80" s="403"/>
      <c r="HW80" s="403"/>
      <c r="HX80" s="403"/>
      <c r="HY80" s="403"/>
      <c r="HZ80" s="403"/>
      <c r="IA80" s="403"/>
      <c r="IB80" s="403"/>
      <c r="IC80" s="403"/>
      <c r="ID80" s="403"/>
      <c r="IE80" s="403"/>
      <c r="IF80" s="403"/>
      <c r="IG80" s="403"/>
      <c r="IH80" s="403"/>
      <c r="II80" s="403"/>
      <c r="IJ80" s="403"/>
      <c r="IK80" s="403"/>
      <c r="IL80" s="403"/>
      <c r="IM80" s="403"/>
      <c r="IN80" s="403"/>
      <c r="IO80" s="403"/>
      <c r="IP80" s="403"/>
      <c r="IQ80" s="403"/>
      <c r="IR80" s="403"/>
      <c r="IS80" s="403"/>
      <c r="IT80" s="403"/>
      <c r="IU80" s="403"/>
      <c r="IV80" s="403"/>
      <c r="IW80" s="403"/>
    </row>
    <row r="81" customFormat="false" ht="28.8" hidden="false" customHeight="true" outlineLevel="0" collapsed="false">
      <c r="F81" s="371"/>
      <c r="I81" s="371"/>
      <c r="J81" s="371"/>
      <c r="K81" s="371"/>
      <c r="N81" s="371"/>
      <c r="O81" s="371"/>
      <c r="P81" s="371"/>
      <c r="Q81" s="371"/>
      <c r="R81" s="371"/>
      <c r="S81" s="371"/>
      <c r="V81" s="371"/>
      <c r="W81" s="371"/>
      <c r="X81" s="371"/>
      <c r="Y81" s="371"/>
      <c r="Z81" s="371"/>
      <c r="AA81" s="371"/>
      <c r="AB81" s="371"/>
      <c r="AC81" s="371"/>
      <c r="AD81" s="371"/>
      <c r="AE81" s="371"/>
      <c r="AF81" s="371"/>
      <c r="AG81" s="371"/>
      <c r="AH81" s="371"/>
      <c r="AI81" s="371"/>
      <c r="AJ81" s="371"/>
      <c r="AK81" s="371"/>
      <c r="AL81" s="371"/>
      <c r="AM81" s="371"/>
      <c r="AN81" s="371"/>
      <c r="AO81" s="371"/>
      <c r="AP81" s="371"/>
      <c r="AQ81" s="371"/>
      <c r="AR81" s="371"/>
      <c r="AS81" s="371"/>
      <c r="AT81" s="371"/>
      <c r="AU81" s="371"/>
      <c r="AV81" s="371"/>
      <c r="AW81" s="371"/>
      <c r="AX81" s="371"/>
      <c r="AY81" s="371"/>
      <c r="AZ81" s="371"/>
      <c r="BA81" s="371"/>
      <c r="BB81" s="371"/>
      <c r="BC81" s="371"/>
      <c r="BD81" s="371"/>
      <c r="BE81" s="371"/>
      <c r="BF81" s="371"/>
      <c r="BG81" s="371"/>
      <c r="BH81" s="371"/>
      <c r="BI81" s="371"/>
      <c r="BJ81" s="371"/>
      <c r="BK81" s="371"/>
      <c r="BL81" s="371"/>
      <c r="BM81" s="371"/>
      <c r="BN81" s="371" t="s">
        <v>421</v>
      </c>
      <c r="BO81" s="371"/>
      <c r="BP81" s="371"/>
      <c r="BQ81" s="371"/>
      <c r="BR81" s="371" t="n">
        <f aca="false">+BR45</f>
        <v>4936.5</v>
      </c>
    </row>
    <row r="82" customFormat="false" ht="13.2" hidden="false" customHeight="false" outlineLevel="0" collapsed="false">
      <c r="F82" s="371"/>
      <c r="I82" s="371"/>
      <c r="J82" s="371"/>
      <c r="K82" s="371"/>
      <c r="N82" s="371"/>
      <c r="O82" s="371"/>
      <c r="P82" s="371"/>
      <c r="Q82" s="371"/>
      <c r="R82" s="371"/>
      <c r="S82" s="371"/>
      <c r="V82" s="371"/>
      <c r="W82" s="371"/>
      <c r="X82" s="371"/>
      <c r="Y82" s="371"/>
      <c r="Z82" s="371"/>
      <c r="AA82" s="371"/>
      <c r="AB82" s="371"/>
      <c r="AC82" s="371"/>
      <c r="AD82" s="371"/>
      <c r="AE82" s="371"/>
      <c r="AF82" s="371"/>
      <c r="AG82" s="371"/>
      <c r="AH82" s="371"/>
      <c r="AI82" s="371"/>
      <c r="AJ82" s="371"/>
      <c r="AK82" s="371"/>
      <c r="AL82" s="371"/>
      <c r="AM82" s="371"/>
      <c r="AN82" s="371"/>
      <c r="AO82" s="371"/>
      <c r="AP82" s="371"/>
      <c r="AQ82" s="371"/>
      <c r="AR82" s="371"/>
      <c r="AS82" s="371"/>
      <c r="AT82" s="371"/>
      <c r="AU82" s="371"/>
      <c r="AV82" s="371"/>
      <c r="AW82" s="371"/>
      <c r="AX82" s="371"/>
      <c r="AY82" s="371"/>
      <c r="AZ82" s="371"/>
      <c r="BA82" s="371"/>
      <c r="BB82" s="371"/>
      <c r="BC82" s="371"/>
      <c r="BD82" s="371"/>
      <c r="BE82" s="371"/>
      <c r="BF82" s="371"/>
      <c r="BG82" s="371"/>
      <c r="BH82" s="371"/>
      <c r="BI82" s="371"/>
      <c r="BJ82" s="371"/>
      <c r="BK82" s="371"/>
      <c r="BL82" s="371"/>
      <c r="BM82" s="371"/>
      <c r="BN82" s="371" t="s">
        <v>422</v>
      </c>
      <c r="BO82" s="371"/>
      <c r="BP82" s="371"/>
      <c r="BQ82" s="371"/>
      <c r="BR82" s="384" t="n">
        <f aca="false">+BR80</f>
        <v>1551.5</v>
      </c>
    </row>
    <row r="83" customFormat="false" ht="13.2" hidden="false" customHeight="false" outlineLevel="0" collapsed="false">
      <c r="F83" s="404"/>
      <c r="I83" s="404"/>
      <c r="J83" s="404"/>
      <c r="K83" s="404"/>
      <c r="N83" s="404"/>
      <c r="O83" s="404"/>
      <c r="P83" s="404"/>
      <c r="Q83" s="404"/>
      <c r="R83" s="404"/>
      <c r="S83" s="404"/>
      <c r="V83" s="404"/>
      <c r="W83" s="404"/>
      <c r="X83" s="404"/>
      <c r="Y83" s="404"/>
      <c r="Z83" s="404"/>
      <c r="AA83" s="404"/>
      <c r="AB83" s="404"/>
      <c r="AC83" s="404"/>
      <c r="AD83" s="404"/>
      <c r="AE83" s="404"/>
      <c r="AF83" s="404"/>
      <c r="AG83" s="404"/>
      <c r="AH83" s="404"/>
      <c r="AI83" s="404"/>
      <c r="AJ83" s="404"/>
      <c r="AK83" s="404"/>
      <c r="AL83" s="404"/>
      <c r="AM83" s="404"/>
      <c r="AN83" s="404"/>
      <c r="AO83" s="404"/>
      <c r="AP83" s="404"/>
      <c r="AQ83" s="404"/>
      <c r="AR83" s="404"/>
      <c r="AS83" s="404"/>
      <c r="AT83" s="404"/>
      <c r="AU83" s="404"/>
      <c r="AV83" s="404"/>
      <c r="AW83" s="404"/>
      <c r="AX83" s="404"/>
      <c r="AY83" s="404"/>
      <c r="AZ83" s="404"/>
      <c r="BA83" s="404"/>
      <c r="BB83" s="404"/>
      <c r="BC83" s="404"/>
      <c r="BD83" s="404"/>
      <c r="BE83" s="404"/>
      <c r="BF83" s="404"/>
      <c r="BG83" s="404"/>
      <c r="BH83" s="404"/>
      <c r="BI83" s="404"/>
      <c r="BJ83" s="404"/>
      <c r="BK83" s="404"/>
      <c r="BL83" s="404"/>
      <c r="BM83" s="404"/>
      <c r="BN83" s="404" t="s">
        <v>573</v>
      </c>
      <c r="BO83" s="404"/>
      <c r="BP83" s="404"/>
      <c r="BQ83" s="404"/>
      <c r="BR83" s="371" t="n">
        <f aca="false">+BR81+BR82</f>
        <v>6488</v>
      </c>
    </row>
    <row r="84" customFormat="false" ht="7.2" hidden="false" customHeight="true" outlineLevel="0" collapsed="false">
      <c r="F84" s="404"/>
      <c r="I84" s="404"/>
      <c r="J84" s="404"/>
      <c r="K84" s="404"/>
      <c r="N84" s="404"/>
      <c r="O84" s="404"/>
      <c r="P84" s="404"/>
      <c r="Q84" s="404"/>
      <c r="R84" s="404"/>
      <c r="S84" s="404"/>
      <c r="V84" s="404"/>
      <c r="W84" s="404"/>
      <c r="X84" s="404"/>
      <c r="Y84" s="404"/>
      <c r="Z84" s="404"/>
      <c r="AA84" s="404"/>
      <c r="AB84" s="404"/>
      <c r="AC84" s="404"/>
      <c r="AD84" s="404"/>
      <c r="AE84" s="404"/>
      <c r="AF84" s="404"/>
      <c r="AG84" s="404"/>
      <c r="AH84" s="404"/>
      <c r="AI84" s="404"/>
      <c r="AJ84" s="404"/>
      <c r="AK84" s="404"/>
      <c r="AL84" s="404"/>
      <c r="AM84" s="404"/>
      <c r="AN84" s="404"/>
      <c r="AO84" s="404"/>
      <c r="AP84" s="404"/>
      <c r="AQ84" s="404"/>
      <c r="AR84" s="404"/>
      <c r="AS84" s="404"/>
      <c r="AT84" s="404"/>
      <c r="AU84" s="404"/>
      <c r="AV84" s="404"/>
      <c r="AW84" s="404"/>
      <c r="AX84" s="404"/>
      <c r="AY84" s="404"/>
      <c r="AZ84" s="404"/>
      <c r="BA84" s="404"/>
      <c r="BB84" s="404"/>
      <c r="BC84" s="404"/>
      <c r="BD84" s="404"/>
      <c r="BE84" s="404"/>
      <c r="BF84" s="404"/>
      <c r="BG84" s="404"/>
      <c r="BH84" s="404"/>
      <c r="BI84" s="404"/>
      <c r="BJ84" s="404"/>
      <c r="BK84" s="404"/>
      <c r="BL84" s="404"/>
      <c r="BM84" s="404"/>
      <c r="BN84" s="404"/>
      <c r="BO84" s="404"/>
      <c r="BP84" s="404"/>
      <c r="BQ84" s="404"/>
      <c r="BR84" s="404"/>
    </row>
    <row r="85" customFormat="false" ht="13.2" hidden="false" customHeight="false" outlineLevel="0" collapsed="false">
      <c r="F85" s="404"/>
      <c r="I85" s="404"/>
      <c r="J85" s="404"/>
      <c r="K85" s="404"/>
      <c r="N85" s="404"/>
      <c r="O85" s="404"/>
      <c r="P85" s="404"/>
      <c r="Q85" s="404"/>
      <c r="R85" s="404"/>
      <c r="S85" s="404"/>
      <c r="V85" s="404"/>
      <c r="W85" s="404"/>
      <c r="X85" s="404"/>
      <c r="Y85" s="404"/>
      <c r="Z85" s="404"/>
      <c r="AA85" s="404"/>
      <c r="AB85" s="404"/>
      <c r="AC85" s="404"/>
      <c r="AD85" s="404"/>
      <c r="AE85" s="404"/>
      <c r="AF85" s="404"/>
      <c r="AG85" s="404"/>
      <c r="AH85" s="404"/>
      <c r="AI85" s="404"/>
      <c r="AJ85" s="404"/>
      <c r="AK85" s="404"/>
      <c r="AL85" s="404"/>
      <c r="AM85" s="404"/>
      <c r="AN85" s="404"/>
      <c r="AO85" s="404"/>
      <c r="AP85" s="404"/>
      <c r="AQ85" s="404"/>
      <c r="AR85" s="404"/>
      <c r="AS85" s="404"/>
      <c r="AT85" s="404"/>
      <c r="AU85" s="404"/>
      <c r="AV85" s="404"/>
      <c r="AW85" s="404"/>
      <c r="AX85" s="404"/>
      <c r="AY85" s="404"/>
      <c r="AZ85" s="404"/>
      <c r="BA85" s="404"/>
      <c r="BB85" s="404"/>
      <c r="BC85" s="404"/>
      <c r="BD85" s="404"/>
      <c r="BE85" s="404"/>
      <c r="BF85" s="404"/>
      <c r="BG85" s="404"/>
      <c r="BH85" s="404"/>
      <c r="BI85" s="404"/>
      <c r="BJ85" s="404"/>
      <c r="BK85" s="404"/>
      <c r="BL85" s="404"/>
      <c r="BM85" s="404"/>
      <c r="BN85" s="371" t="s">
        <v>421</v>
      </c>
      <c r="BO85" s="404"/>
      <c r="BP85" s="404"/>
      <c r="BQ85" s="404"/>
      <c r="BR85" s="405" t="n">
        <v>5120.5</v>
      </c>
    </row>
    <row r="86" customFormat="false" ht="13.2" hidden="false" customHeight="false" outlineLevel="0" collapsed="false">
      <c r="F86" s="404"/>
      <c r="I86" s="404"/>
      <c r="J86" s="404"/>
      <c r="K86" s="404"/>
      <c r="N86" s="404"/>
      <c r="O86" s="404"/>
      <c r="P86" s="404"/>
      <c r="Q86" s="404"/>
      <c r="R86" s="404"/>
      <c r="S86" s="404"/>
      <c r="V86" s="404"/>
      <c r="W86" s="404"/>
      <c r="X86" s="404"/>
      <c r="Y86" s="404"/>
      <c r="Z86" s="404"/>
      <c r="AA86" s="404"/>
      <c r="AB86" s="404"/>
      <c r="AC86" s="404"/>
      <c r="AD86" s="404"/>
      <c r="AE86" s="404"/>
      <c r="AF86" s="404"/>
      <c r="AG86" s="404"/>
      <c r="AH86" s="404"/>
      <c r="AI86" s="404"/>
      <c r="AJ86" s="404"/>
      <c r="AK86" s="404"/>
      <c r="AL86" s="404"/>
      <c r="AM86" s="404"/>
      <c r="AN86" s="404"/>
      <c r="AO86" s="404"/>
      <c r="AP86" s="404"/>
      <c r="AQ86" s="404"/>
      <c r="AR86" s="404"/>
      <c r="AS86" s="404"/>
      <c r="AT86" s="404"/>
      <c r="AU86" s="404"/>
      <c r="AV86" s="404"/>
      <c r="AW86" s="404"/>
      <c r="AX86" s="404"/>
      <c r="AY86" s="404"/>
      <c r="AZ86" s="404"/>
      <c r="BA86" s="404"/>
      <c r="BB86" s="404"/>
      <c r="BC86" s="404"/>
      <c r="BD86" s="404"/>
      <c r="BE86" s="404"/>
      <c r="BF86" s="404"/>
      <c r="BG86" s="404"/>
      <c r="BH86" s="404"/>
      <c r="BI86" s="404"/>
      <c r="BJ86" s="404"/>
      <c r="BK86" s="404"/>
      <c r="BL86" s="404"/>
      <c r="BM86" s="404"/>
      <c r="BN86" s="371" t="s">
        <v>422</v>
      </c>
      <c r="BO86" s="404"/>
      <c r="BP86" s="404"/>
      <c r="BQ86" s="404"/>
      <c r="BR86" s="406" t="n">
        <v>1999</v>
      </c>
    </row>
    <row r="87" customFormat="false" ht="13.2" hidden="false" customHeight="false" outlineLevel="0" collapsed="false">
      <c r="F87" s="404"/>
      <c r="I87" s="404"/>
      <c r="J87" s="404"/>
      <c r="K87" s="404"/>
      <c r="N87" s="404"/>
      <c r="O87" s="404"/>
      <c r="P87" s="404"/>
      <c r="Q87" s="404"/>
      <c r="R87" s="404"/>
      <c r="S87" s="404"/>
      <c r="V87" s="404"/>
      <c r="W87" s="404"/>
      <c r="X87" s="404"/>
      <c r="Y87" s="404"/>
      <c r="Z87" s="404"/>
      <c r="AA87" s="404"/>
      <c r="AB87" s="404"/>
      <c r="AC87" s="404"/>
      <c r="AD87" s="404"/>
      <c r="AE87" s="404"/>
      <c r="AF87" s="404"/>
      <c r="AG87" s="404"/>
      <c r="AH87" s="404"/>
      <c r="AI87" s="404"/>
      <c r="AJ87" s="404"/>
      <c r="AK87" s="404"/>
      <c r="AL87" s="404"/>
      <c r="AM87" s="404"/>
      <c r="AN87" s="404"/>
      <c r="AO87" s="404"/>
      <c r="AP87" s="404"/>
      <c r="AQ87" s="404"/>
      <c r="AR87" s="404"/>
      <c r="AS87" s="404"/>
      <c r="AT87" s="404"/>
      <c r="AU87" s="404"/>
      <c r="AV87" s="404"/>
      <c r="AW87" s="404"/>
      <c r="AX87" s="404"/>
      <c r="AY87" s="404"/>
      <c r="AZ87" s="404"/>
      <c r="BA87" s="404"/>
      <c r="BB87" s="404"/>
      <c r="BC87" s="404"/>
      <c r="BD87" s="404"/>
      <c r="BE87" s="404"/>
      <c r="BF87" s="404"/>
      <c r="BG87" s="404"/>
      <c r="BH87" s="404"/>
      <c r="BI87" s="404"/>
      <c r="BJ87" s="404"/>
      <c r="BK87" s="404"/>
      <c r="BL87" s="404"/>
      <c r="BM87" s="404"/>
      <c r="BO87" s="404"/>
      <c r="BP87" s="404"/>
      <c r="BQ87" s="407" t="s">
        <v>669</v>
      </c>
      <c r="BR87" s="408" t="n">
        <f aca="false">+BR85+BR86</f>
        <v>7119.5</v>
      </c>
    </row>
    <row r="88" customFormat="false" ht="4.8" hidden="false" customHeight="true" outlineLevel="0" collapsed="false">
      <c r="F88" s="404"/>
      <c r="I88" s="404"/>
      <c r="J88" s="404"/>
      <c r="K88" s="404"/>
      <c r="N88" s="404"/>
      <c r="O88" s="404"/>
      <c r="P88" s="404"/>
      <c r="Q88" s="404"/>
      <c r="R88" s="404"/>
      <c r="S88" s="404"/>
      <c r="V88" s="404"/>
      <c r="W88" s="404"/>
      <c r="X88" s="404"/>
      <c r="Y88" s="404"/>
      <c r="Z88" s="404"/>
      <c r="AA88" s="404"/>
      <c r="AB88" s="404"/>
      <c r="AC88" s="404"/>
      <c r="AD88" s="404"/>
      <c r="AE88" s="404"/>
      <c r="AF88" s="404"/>
      <c r="AG88" s="404"/>
      <c r="AH88" s="404"/>
      <c r="AI88" s="404"/>
      <c r="AJ88" s="404"/>
      <c r="AK88" s="404"/>
      <c r="AL88" s="404"/>
      <c r="AM88" s="404"/>
      <c r="AN88" s="404"/>
      <c r="AO88" s="404"/>
      <c r="AP88" s="404"/>
      <c r="AQ88" s="404"/>
      <c r="AR88" s="404"/>
      <c r="AS88" s="404"/>
      <c r="AT88" s="404"/>
      <c r="AU88" s="404"/>
      <c r="AV88" s="404"/>
      <c r="AW88" s="404"/>
      <c r="AX88" s="404"/>
      <c r="AY88" s="404"/>
      <c r="AZ88" s="404"/>
      <c r="BA88" s="404"/>
      <c r="BB88" s="404"/>
      <c r="BC88" s="404"/>
      <c r="BD88" s="404"/>
      <c r="BE88" s="404"/>
      <c r="BF88" s="404"/>
      <c r="BG88" s="404"/>
      <c r="BH88" s="404"/>
      <c r="BI88" s="404"/>
      <c r="BJ88" s="404"/>
      <c r="BK88" s="404"/>
      <c r="BL88" s="404"/>
      <c r="BM88" s="404"/>
      <c r="BN88" s="404"/>
      <c r="BO88" s="404"/>
      <c r="BP88" s="404"/>
      <c r="BQ88" s="404"/>
      <c r="BR88" s="404"/>
    </row>
    <row r="89" customFormat="false" ht="13.2" hidden="false" customHeight="false" outlineLevel="0" collapsed="false">
      <c r="F89" s="404"/>
      <c r="I89" s="404"/>
      <c r="J89" s="404"/>
      <c r="K89" s="404"/>
      <c r="N89" s="404"/>
      <c r="O89" s="404"/>
      <c r="P89" s="404"/>
      <c r="Q89" s="404"/>
      <c r="R89" s="404"/>
      <c r="S89" s="404"/>
      <c r="V89" s="404"/>
      <c r="W89" s="404"/>
      <c r="X89" s="404"/>
      <c r="Y89" s="404"/>
      <c r="Z89" s="404"/>
      <c r="AA89" s="404"/>
      <c r="AB89" s="404"/>
      <c r="AC89" s="404"/>
      <c r="AD89" s="404"/>
      <c r="AE89" s="404"/>
      <c r="AF89" s="404"/>
      <c r="AG89" s="404"/>
      <c r="AH89" s="404"/>
      <c r="AI89" s="404"/>
      <c r="AJ89" s="404"/>
      <c r="AK89" s="404"/>
      <c r="AL89" s="404"/>
      <c r="AM89" s="404"/>
      <c r="AN89" s="404"/>
      <c r="AO89" s="404"/>
      <c r="AP89" s="404"/>
      <c r="AQ89" s="404"/>
      <c r="AR89" s="404"/>
      <c r="AS89" s="404"/>
      <c r="AU89" s="407"/>
      <c r="AV89" s="404"/>
      <c r="AW89" s="404"/>
      <c r="AX89" s="404"/>
      <c r="AY89" s="404"/>
      <c r="AZ89" s="404"/>
      <c r="BA89" s="404"/>
      <c r="BB89" s="404"/>
      <c r="BC89" s="404"/>
      <c r="BD89" s="404"/>
      <c r="BE89" s="404"/>
      <c r="BF89" s="404"/>
      <c r="BG89" s="404"/>
      <c r="BH89" s="407" t="s">
        <v>670</v>
      </c>
      <c r="BI89" s="404"/>
      <c r="BJ89" s="404"/>
      <c r="BK89" s="404"/>
      <c r="BL89" s="404"/>
      <c r="BM89" s="404"/>
      <c r="BN89" s="371" t="s">
        <v>421</v>
      </c>
      <c r="BO89" s="404"/>
      <c r="BP89" s="404"/>
      <c r="BQ89" s="404"/>
      <c r="BR89" s="371" t="n">
        <f aca="false">+BR85-BR81</f>
        <v>184</v>
      </c>
    </row>
    <row r="90" customFormat="false" ht="13.2" hidden="false" customHeight="false" outlineLevel="0" collapsed="false">
      <c r="F90" s="404"/>
      <c r="I90" s="404"/>
      <c r="J90" s="404"/>
      <c r="K90" s="404"/>
      <c r="N90" s="404"/>
      <c r="O90" s="404"/>
      <c r="P90" s="404"/>
      <c r="Q90" s="404"/>
      <c r="R90" s="404"/>
      <c r="S90" s="404"/>
      <c r="V90" s="404"/>
      <c r="W90" s="404"/>
      <c r="X90" s="404"/>
      <c r="Y90" s="404"/>
      <c r="Z90" s="404"/>
      <c r="AA90" s="404"/>
      <c r="AB90" s="404"/>
      <c r="AC90" s="404"/>
      <c r="AD90" s="404"/>
      <c r="AE90" s="404"/>
      <c r="AF90" s="404"/>
      <c r="AG90" s="404"/>
      <c r="AH90" s="404"/>
      <c r="AI90" s="404"/>
      <c r="AJ90" s="404"/>
      <c r="AK90" s="404"/>
      <c r="AL90" s="404"/>
      <c r="AM90" s="404"/>
      <c r="AN90" s="404"/>
      <c r="AO90" s="404"/>
      <c r="AP90" s="404"/>
      <c r="AQ90" s="404"/>
      <c r="AR90" s="404"/>
      <c r="AS90" s="404"/>
      <c r="AU90" s="407"/>
      <c r="AV90" s="404"/>
      <c r="AW90" s="404"/>
      <c r="AX90" s="404"/>
      <c r="AY90" s="404"/>
      <c r="AZ90" s="404"/>
      <c r="BA90" s="404"/>
      <c r="BB90" s="404"/>
      <c r="BC90" s="404"/>
      <c r="BD90" s="404"/>
      <c r="BE90" s="404"/>
      <c r="BF90" s="404"/>
      <c r="BG90" s="404"/>
      <c r="BH90" s="407" t="s">
        <v>670</v>
      </c>
      <c r="BI90" s="404"/>
      <c r="BJ90" s="404"/>
      <c r="BK90" s="404"/>
      <c r="BL90" s="404"/>
      <c r="BM90" s="404"/>
      <c r="BN90" s="371" t="s">
        <v>422</v>
      </c>
      <c r="BO90" s="404"/>
      <c r="BP90" s="404"/>
      <c r="BQ90" s="404"/>
      <c r="BR90" s="409" t="n">
        <f aca="false">+BR86-BR82</f>
        <v>447.5</v>
      </c>
    </row>
    <row r="91" customFormat="false" ht="13.2" hidden="false" customHeight="false" outlineLevel="0" collapsed="false">
      <c r="F91" s="404"/>
      <c r="I91" s="404"/>
      <c r="J91" s="404"/>
      <c r="K91" s="404"/>
      <c r="N91" s="404"/>
      <c r="O91" s="404"/>
      <c r="P91" s="404"/>
      <c r="Q91" s="404"/>
      <c r="R91" s="404"/>
      <c r="S91" s="404"/>
      <c r="V91" s="404"/>
      <c r="W91" s="404"/>
      <c r="X91" s="404"/>
      <c r="Y91" s="404"/>
      <c r="Z91" s="404"/>
      <c r="AA91" s="404"/>
      <c r="AB91" s="404"/>
      <c r="AC91" s="404"/>
      <c r="AD91" s="404"/>
      <c r="AE91" s="404"/>
      <c r="AF91" s="404"/>
      <c r="AG91" s="404"/>
      <c r="AH91" s="404"/>
      <c r="AI91" s="404"/>
      <c r="AJ91" s="404"/>
      <c r="AK91" s="404"/>
      <c r="AL91" s="404"/>
      <c r="AM91" s="404"/>
      <c r="AN91" s="404"/>
      <c r="AO91" s="404"/>
      <c r="AP91" s="404"/>
      <c r="AQ91" s="404"/>
      <c r="AR91" s="404"/>
      <c r="AS91" s="404"/>
      <c r="AT91" s="404"/>
      <c r="AU91" s="404"/>
      <c r="AV91" s="404"/>
      <c r="AW91" s="404"/>
      <c r="AX91" s="404"/>
      <c r="AY91" s="404"/>
      <c r="AZ91" s="404"/>
      <c r="BA91" s="404"/>
      <c r="BB91" s="404"/>
      <c r="BC91" s="404"/>
      <c r="BD91" s="404"/>
      <c r="BE91" s="404"/>
      <c r="BF91" s="404"/>
      <c r="BG91" s="404"/>
      <c r="BH91" s="404"/>
      <c r="BI91" s="404"/>
      <c r="BJ91" s="404"/>
      <c r="BK91" s="404"/>
      <c r="BL91" s="404"/>
      <c r="BM91" s="404"/>
      <c r="BN91" s="404"/>
      <c r="BO91" s="404"/>
      <c r="BP91" s="404"/>
      <c r="BQ91" s="407" t="s">
        <v>670</v>
      </c>
      <c r="BR91" s="408" t="n">
        <f aca="false">+BR89+BR90</f>
        <v>631.5</v>
      </c>
    </row>
    <row r="92" customFormat="false" ht="13.2" hidden="false" customHeight="false" outlineLevel="0" collapsed="false">
      <c r="F92" s="404"/>
      <c r="I92" s="404"/>
      <c r="J92" s="404"/>
      <c r="K92" s="404"/>
      <c r="N92" s="404"/>
      <c r="O92" s="404"/>
      <c r="P92" s="404"/>
      <c r="Q92" s="404"/>
      <c r="R92" s="404"/>
      <c r="S92" s="404"/>
      <c r="V92" s="404"/>
      <c r="W92" s="404"/>
      <c r="X92" s="404"/>
      <c r="Y92" s="404"/>
      <c r="Z92" s="404"/>
      <c r="AA92" s="404"/>
      <c r="AB92" s="404"/>
      <c r="AC92" s="404"/>
      <c r="AD92" s="404"/>
      <c r="AE92" s="404"/>
      <c r="AF92" s="404"/>
      <c r="AG92" s="404"/>
      <c r="AH92" s="404"/>
      <c r="AI92" s="404"/>
      <c r="AJ92" s="404"/>
      <c r="AK92" s="404"/>
      <c r="AL92" s="404"/>
      <c r="AM92" s="404"/>
      <c r="AN92" s="404"/>
      <c r="AO92" s="404"/>
      <c r="AP92" s="404"/>
      <c r="AQ92" s="404"/>
      <c r="AR92" s="404"/>
      <c r="AS92" s="404"/>
      <c r="AT92" s="404"/>
      <c r="AU92" s="404"/>
      <c r="AV92" s="404"/>
      <c r="AW92" s="404"/>
      <c r="AX92" s="404"/>
      <c r="AY92" s="404"/>
      <c r="AZ92" s="404"/>
      <c r="BA92" s="404"/>
      <c r="BB92" s="404"/>
      <c r="BC92" s="404"/>
      <c r="BD92" s="404"/>
      <c r="BE92" s="404"/>
      <c r="BF92" s="404"/>
      <c r="BG92" s="404"/>
      <c r="BH92" s="404"/>
      <c r="BI92" s="404"/>
      <c r="BJ92" s="404"/>
      <c r="BK92" s="404"/>
      <c r="BL92" s="404"/>
      <c r="BM92" s="404"/>
      <c r="BN92" s="404"/>
      <c r="BO92" s="404"/>
      <c r="BP92" s="404"/>
      <c r="BQ92" s="404"/>
      <c r="BR92" s="404"/>
    </row>
    <row r="93" customFormat="false" ht="13.2" hidden="false" customHeight="false" outlineLevel="0" collapsed="false">
      <c r="F93" s="404"/>
      <c r="I93" s="404"/>
      <c r="J93" s="404"/>
      <c r="K93" s="404"/>
      <c r="N93" s="404"/>
      <c r="O93" s="404"/>
      <c r="P93" s="404"/>
      <c r="Q93" s="404"/>
      <c r="R93" s="404"/>
      <c r="S93" s="404"/>
      <c r="V93" s="404"/>
      <c r="W93" s="404"/>
      <c r="X93" s="404"/>
      <c r="Y93" s="404"/>
      <c r="Z93" s="404"/>
      <c r="AA93" s="404"/>
      <c r="AB93" s="404"/>
      <c r="AC93" s="404"/>
      <c r="AD93" s="404"/>
      <c r="AE93" s="404"/>
      <c r="AF93" s="404"/>
      <c r="AG93" s="404"/>
      <c r="AH93" s="404"/>
      <c r="AI93" s="404"/>
      <c r="AJ93" s="404"/>
      <c r="AK93" s="404"/>
      <c r="AL93" s="404"/>
      <c r="AM93" s="404"/>
      <c r="AN93" s="404"/>
      <c r="AO93" s="404"/>
      <c r="AP93" s="404"/>
      <c r="AQ93" s="404"/>
      <c r="AR93" s="404"/>
      <c r="AS93" s="404"/>
      <c r="AT93" s="404"/>
      <c r="AU93" s="404"/>
      <c r="AV93" s="404"/>
      <c r="AW93" s="404"/>
      <c r="AX93" s="404"/>
      <c r="AY93" s="404"/>
      <c r="AZ93" s="404"/>
      <c r="BA93" s="404"/>
      <c r="BB93" s="404"/>
      <c r="BC93" s="404"/>
      <c r="BD93" s="404"/>
      <c r="BE93" s="404"/>
      <c r="BF93" s="404"/>
      <c r="BG93" s="404"/>
      <c r="BH93" s="404"/>
      <c r="BI93" s="404"/>
      <c r="BJ93" s="404"/>
      <c r="BK93" s="404"/>
      <c r="BL93" s="404"/>
      <c r="BM93" s="404"/>
      <c r="BN93" s="404"/>
      <c r="BO93" s="404"/>
      <c r="BP93" s="404"/>
      <c r="BQ93" s="404"/>
      <c r="BR93" s="404"/>
    </row>
    <row r="94" customFormat="false" ht="13.2" hidden="false" customHeight="false" outlineLevel="0" collapsed="false">
      <c r="F94" s="404"/>
      <c r="I94" s="404"/>
      <c r="J94" s="404"/>
      <c r="K94" s="404"/>
      <c r="N94" s="404"/>
      <c r="O94" s="404"/>
      <c r="P94" s="404"/>
      <c r="Q94" s="404"/>
      <c r="R94" s="404"/>
      <c r="S94" s="404"/>
      <c r="V94" s="404"/>
      <c r="W94" s="404"/>
      <c r="X94" s="404"/>
      <c r="Y94" s="404"/>
      <c r="Z94" s="404"/>
      <c r="AA94" s="404"/>
      <c r="AB94" s="404"/>
      <c r="AC94" s="404"/>
      <c r="AD94" s="404"/>
      <c r="AE94" s="404"/>
      <c r="AF94" s="404"/>
      <c r="AG94" s="404"/>
      <c r="AH94" s="404"/>
      <c r="AI94" s="404"/>
      <c r="AJ94" s="404"/>
      <c r="AK94" s="404"/>
      <c r="AL94" s="404"/>
      <c r="AM94" s="404"/>
      <c r="AN94" s="404"/>
      <c r="AO94" s="404"/>
      <c r="AP94" s="404"/>
      <c r="AQ94" s="404"/>
      <c r="AR94" s="404"/>
      <c r="AS94" s="404"/>
      <c r="AT94" s="404"/>
      <c r="AU94" s="404"/>
      <c r="AV94" s="404"/>
      <c r="AW94" s="404"/>
      <c r="AX94" s="404"/>
      <c r="AY94" s="404"/>
      <c r="AZ94" s="404"/>
      <c r="BA94" s="404"/>
      <c r="BB94" s="404"/>
      <c r="BC94" s="404"/>
      <c r="BD94" s="404"/>
      <c r="BE94" s="404"/>
      <c r="BF94" s="404"/>
      <c r="BG94" s="404"/>
      <c r="BH94" s="404" t="s">
        <v>671</v>
      </c>
      <c r="BI94" s="404"/>
      <c r="BJ94" s="404"/>
      <c r="BK94" s="404"/>
      <c r="BL94" s="404"/>
      <c r="BM94" s="404"/>
      <c r="BN94" s="404"/>
      <c r="BO94" s="404"/>
      <c r="BP94" s="404"/>
      <c r="BQ94" s="404"/>
      <c r="BR94" s="404"/>
    </row>
    <row r="95" customFormat="false" ht="13.2" hidden="false" customHeight="false" outlineLevel="0" collapsed="false">
      <c r="F95" s="404"/>
      <c r="I95" s="404"/>
      <c r="J95" s="404"/>
      <c r="K95" s="404"/>
      <c r="N95" s="404"/>
      <c r="O95" s="404"/>
      <c r="P95" s="404"/>
      <c r="Q95" s="404"/>
      <c r="R95" s="404"/>
      <c r="S95" s="404"/>
      <c r="V95" s="404"/>
      <c r="W95" s="404"/>
      <c r="X95" s="404"/>
      <c r="Y95" s="404"/>
      <c r="Z95" s="404"/>
      <c r="AA95" s="404"/>
      <c r="AB95" s="404"/>
      <c r="AC95" s="404"/>
      <c r="AD95" s="404"/>
      <c r="AE95" s="404"/>
      <c r="AF95" s="404"/>
      <c r="AG95" s="404"/>
      <c r="AH95" s="404"/>
      <c r="AI95" s="404"/>
      <c r="AJ95" s="404"/>
      <c r="AK95" s="404"/>
      <c r="AL95" s="404"/>
      <c r="AM95" s="404"/>
      <c r="AN95" s="404"/>
      <c r="AO95" s="404"/>
      <c r="AP95" s="404"/>
      <c r="AQ95" s="404"/>
      <c r="AR95" s="404"/>
      <c r="AS95" s="404"/>
      <c r="AT95" s="404"/>
      <c r="AU95" s="404"/>
      <c r="AV95" s="404"/>
      <c r="AW95" s="404"/>
      <c r="AX95" s="404"/>
      <c r="AY95" s="404"/>
      <c r="AZ95" s="404"/>
      <c r="BA95" s="404"/>
      <c r="BB95" s="404"/>
      <c r="BC95" s="404"/>
      <c r="BD95" s="404"/>
      <c r="BE95" s="404"/>
      <c r="BF95" s="404"/>
      <c r="BG95" s="404"/>
      <c r="BH95" s="404"/>
      <c r="BI95" s="404"/>
      <c r="BJ95" s="404"/>
      <c r="BK95" s="404"/>
      <c r="BL95" s="404"/>
      <c r="BM95" s="404"/>
      <c r="BN95" s="404"/>
      <c r="BO95" s="404"/>
      <c r="BP95" s="404"/>
      <c r="BQ95" s="410" t="s">
        <v>421</v>
      </c>
      <c r="BR95" s="371" t="n">
        <f aca="false">+BR81</f>
        <v>4936.5</v>
      </c>
    </row>
    <row r="96" customFormat="false" ht="13.2" hidden="false" customHeight="false" outlineLevel="0" collapsed="false">
      <c r="F96" s="404"/>
      <c r="I96" s="404"/>
      <c r="J96" s="404"/>
      <c r="K96" s="404"/>
      <c r="N96" s="404"/>
      <c r="O96" s="404"/>
      <c r="P96" s="404"/>
      <c r="Q96" s="404"/>
      <c r="R96" s="404"/>
      <c r="S96" s="404"/>
      <c r="V96" s="404"/>
      <c r="W96" s="404"/>
      <c r="X96" s="404"/>
      <c r="Y96" s="404"/>
      <c r="Z96" s="404"/>
      <c r="AA96" s="404"/>
      <c r="AB96" s="404"/>
      <c r="AC96" s="404"/>
      <c r="AD96" s="404"/>
      <c r="AE96" s="404"/>
      <c r="AF96" s="404"/>
      <c r="AG96" s="404"/>
      <c r="AH96" s="404"/>
      <c r="AI96" s="404"/>
      <c r="AJ96" s="404"/>
      <c r="AK96" s="404"/>
      <c r="AL96" s="404"/>
      <c r="AM96" s="404"/>
      <c r="AN96" s="404"/>
      <c r="AO96" s="404"/>
      <c r="AP96" s="404"/>
      <c r="AQ96" s="404"/>
      <c r="AR96" s="404"/>
      <c r="AS96" s="404"/>
      <c r="AT96" s="404"/>
      <c r="AU96" s="404"/>
      <c r="AV96" s="404"/>
      <c r="AW96" s="404"/>
      <c r="AX96" s="404"/>
      <c r="AY96" s="404"/>
      <c r="AZ96" s="404"/>
      <c r="BA96" s="404"/>
      <c r="BB96" s="404"/>
      <c r="BC96" s="404"/>
      <c r="BD96" s="404"/>
      <c r="BE96" s="404"/>
      <c r="BF96" s="404"/>
      <c r="BG96" s="404"/>
      <c r="BH96" s="404"/>
      <c r="BI96" s="404"/>
      <c r="BJ96" s="404"/>
      <c r="BK96" s="404"/>
      <c r="BL96" s="404"/>
      <c r="BM96" s="404"/>
      <c r="BN96" s="404"/>
      <c r="BO96" s="404"/>
      <c r="BP96" s="404"/>
      <c r="BQ96" s="410" t="s">
        <v>422</v>
      </c>
      <c r="BR96" s="384" t="n">
        <f aca="false">+BR82</f>
        <v>1551.5</v>
      </c>
    </row>
    <row r="97" customFormat="false" ht="13.2" hidden="false" customHeight="false" outlineLevel="0" collapsed="false">
      <c r="F97" s="404"/>
      <c r="I97" s="404"/>
      <c r="J97" s="404"/>
      <c r="K97" s="404"/>
      <c r="N97" s="404"/>
      <c r="O97" s="404"/>
      <c r="P97" s="404"/>
      <c r="Q97" s="404"/>
      <c r="R97" s="404"/>
      <c r="S97" s="404"/>
      <c r="V97" s="404"/>
      <c r="W97" s="404"/>
      <c r="X97" s="404"/>
      <c r="Y97" s="404"/>
      <c r="Z97" s="404"/>
      <c r="AA97" s="404"/>
      <c r="AB97" s="404"/>
      <c r="AC97" s="404"/>
      <c r="AD97" s="404"/>
      <c r="AE97" s="404"/>
      <c r="AF97" s="404"/>
      <c r="AG97" s="404"/>
      <c r="AH97" s="404"/>
      <c r="AI97" s="404"/>
      <c r="AJ97" s="404"/>
      <c r="AK97" s="404"/>
      <c r="AL97" s="404"/>
      <c r="AM97" s="404"/>
      <c r="AN97" s="404"/>
      <c r="AO97" s="404"/>
      <c r="AP97" s="404"/>
      <c r="AQ97" s="404"/>
      <c r="AR97" s="404"/>
      <c r="AS97" s="404"/>
      <c r="AT97" s="404"/>
      <c r="AU97" s="404"/>
      <c r="AV97" s="404"/>
      <c r="AW97" s="404"/>
      <c r="AX97" s="404"/>
      <c r="AY97" s="404"/>
      <c r="AZ97" s="404"/>
      <c r="BA97" s="404"/>
      <c r="BB97" s="404"/>
      <c r="BC97" s="404"/>
      <c r="BD97" s="404"/>
      <c r="BE97" s="404"/>
      <c r="BF97" s="404"/>
      <c r="BG97" s="404"/>
      <c r="BH97" s="404"/>
      <c r="BI97" s="404"/>
      <c r="BJ97" s="404"/>
      <c r="BK97" s="404"/>
      <c r="BL97" s="404"/>
      <c r="BM97" s="404"/>
      <c r="BO97" s="404"/>
      <c r="BP97" s="404"/>
      <c r="BR97" s="371" t="n">
        <f aca="false">+BR95+BR96</f>
        <v>6488</v>
      </c>
    </row>
    <row r="98" customFormat="false" ht="13.2" hidden="false" customHeight="false" outlineLevel="0" collapsed="false">
      <c r="F98" s="404"/>
      <c r="I98" s="404"/>
      <c r="J98" s="404"/>
      <c r="K98" s="404"/>
      <c r="N98" s="404"/>
      <c r="O98" s="404"/>
      <c r="P98" s="404"/>
      <c r="Q98" s="404"/>
      <c r="R98" s="404"/>
      <c r="S98" s="404"/>
      <c r="V98" s="404"/>
      <c r="W98" s="404"/>
      <c r="X98" s="404"/>
      <c r="Y98" s="404"/>
      <c r="Z98" s="404"/>
      <c r="AA98" s="404"/>
      <c r="AB98" s="404"/>
      <c r="AC98" s="404"/>
      <c r="AD98" s="404"/>
      <c r="AE98" s="404"/>
      <c r="AF98" s="404"/>
      <c r="AG98" s="404"/>
      <c r="AH98" s="404"/>
      <c r="AI98" s="404"/>
      <c r="AJ98" s="404"/>
      <c r="AK98" s="404"/>
      <c r="AL98" s="404"/>
      <c r="AM98" s="404"/>
      <c r="AN98" s="404"/>
      <c r="AO98" s="404"/>
      <c r="AP98" s="404"/>
      <c r="AQ98" s="404"/>
      <c r="AR98" s="404"/>
      <c r="AS98" s="404"/>
      <c r="AT98" s="404"/>
      <c r="AU98" s="404"/>
      <c r="AV98" s="404"/>
      <c r="AW98" s="404"/>
      <c r="AX98" s="404"/>
      <c r="AY98" s="404"/>
      <c r="AZ98" s="404"/>
      <c r="BA98" s="404"/>
      <c r="BB98" s="404"/>
      <c r="BC98" s="404"/>
      <c r="BD98" s="404"/>
      <c r="BE98" s="404"/>
      <c r="BF98" s="404"/>
      <c r="BG98" s="404"/>
      <c r="BH98" s="404"/>
      <c r="BI98" s="404"/>
      <c r="BJ98" s="404"/>
      <c r="BK98" s="404"/>
      <c r="BL98" s="404"/>
      <c r="BM98" s="404"/>
      <c r="BN98" s="404"/>
      <c r="BO98" s="404"/>
      <c r="BP98" s="407" t="s">
        <v>334</v>
      </c>
      <c r="BR98" s="404"/>
    </row>
    <row r="99" customFormat="false" ht="13.2" hidden="false" customHeight="false" outlineLevel="0" collapsed="false">
      <c r="F99" s="404"/>
      <c r="I99" s="404"/>
      <c r="J99" s="404"/>
      <c r="K99" s="404"/>
      <c r="N99" s="404"/>
      <c r="O99" s="404"/>
      <c r="P99" s="404"/>
      <c r="Q99" s="404"/>
      <c r="R99" s="404"/>
      <c r="S99" s="404"/>
      <c r="V99" s="404"/>
      <c r="W99" s="404"/>
      <c r="X99" s="404"/>
      <c r="Y99" s="404"/>
      <c r="Z99" s="404"/>
      <c r="AA99" s="404"/>
      <c r="AB99" s="404"/>
      <c r="AC99" s="404"/>
      <c r="AD99" s="404"/>
      <c r="AE99" s="404"/>
      <c r="AF99" s="404"/>
      <c r="AG99" s="404"/>
      <c r="AH99" s="404"/>
      <c r="AI99" s="404"/>
      <c r="AJ99" s="404"/>
      <c r="AK99" s="404"/>
      <c r="AL99" s="404"/>
      <c r="AM99" s="404"/>
      <c r="AN99" s="404"/>
      <c r="AO99" s="404"/>
      <c r="AP99" s="404"/>
      <c r="AQ99" s="404"/>
      <c r="AR99" s="404"/>
      <c r="AS99" s="404"/>
      <c r="AT99" s="404"/>
      <c r="AU99" s="404"/>
      <c r="AV99" s="404"/>
      <c r="AW99" s="404"/>
      <c r="AX99" s="404"/>
      <c r="AY99" s="404"/>
      <c r="AZ99" s="404"/>
      <c r="BA99" s="404"/>
      <c r="BB99" s="404"/>
      <c r="BC99" s="404"/>
      <c r="BD99" s="404"/>
      <c r="BE99" s="404"/>
      <c r="BF99" s="404"/>
      <c r="BG99" s="404"/>
      <c r="BH99" s="404"/>
      <c r="BI99" s="404"/>
      <c r="BJ99" s="404"/>
      <c r="BK99" s="404"/>
      <c r="BL99" s="404"/>
      <c r="BM99" s="404"/>
      <c r="BN99" s="404"/>
      <c r="BO99" s="404"/>
      <c r="BP99" s="411" t="s">
        <v>672</v>
      </c>
      <c r="BR99" s="404"/>
    </row>
    <row r="100" customFormat="false" ht="13.2" hidden="false" customHeight="false" outlineLevel="0" collapsed="false">
      <c r="F100" s="404"/>
      <c r="I100" s="404"/>
      <c r="J100" s="404"/>
      <c r="K100" s="404"/>
      <c r="N100" s="404"/>
      <c r="O100" s="404"/>
      <c r="P100" s="404"/>
      <c r="Q100" s="404"/>
      <c r="R100" s="404"/>
      <c r="S100" s="404"/>
      <c r="V100" s="404"/>
      <c r="W100" s="404"/>
      <c r="X100" s="404"/>
      <c r="Y100" s="404"/>
      <c r="Z100" s="404"/>
      <c r="AA100" s="404"/>
      <c r="AB100" s="404"/>
      <c r="AC100" s="404"/>
      <c r="AD100" s="404"/>
      <c r="AE100" s="404"/>
      <c r="AF100" s="404"/>
      <c r="AG100" s="404"/>
      <c r="AH100" s="404"/>
      <c r="AI100" s="404"/>
      <c r="AJ100" s="404"/>
      <c r="AK100" s="404"/>
      <c r="AL100" s="404"/>
      <c r="AM100" s="404"/>
      <c r="AN100" s="404"/>
      <c r="AO100" s="404"/>
      <c r="AP100" s="404"/>
      <c r="AQ100" s="404"/>
      <c r="AR100" s="404"/>
      <c r="AS100" s="404"/>
      <c r="AT100" s="404"/>
      <c r="AU100" s="404"/>
      <c r="AV100" s="404"/>
      <c r="AW100" s="404"/>
      <c r="AX100" s="404"/>
      <c r="AY100" s="404"/>
      <c r="AZ100" s="404"/>
      <c r="BA100" s="404"/>
      <c r="BB100" s="404"/>
      <c r="BC100" s="404"/>
      <c r="BD100" s="404"/>
      <c r="BE100" s="404"/>
      <c r="BF100" s="404"/>
      <c r="BG100" s="404"/>
      <c r="BH100" s="404"/>
      <c r="BI100" s="404"/>
      <c r="BJ100" s="404"/>
      <c r="BK100" s="404"/>
      <c r="BL100" s="404"/>
      <c r="BM100" s="404"/>
      <c r="BN100" s="404"/>
      <c r="BO100" s="404"/>
      <c r="BP100" s="407"/>
      <c r="BQ100" s="412" t="s">
        <v>421</v>
      </c>
      <c r="BR100" s="408" t="n">
        <f aca="false">-BH46-BI46-BL46</f>
        <v>-214</v>
      </c>
    </row>
    <row r="101" customFormat="false" ht="13.2" hidden="false" customHeight="false" outlineLevel="0" collapsed="false">
      <c r="F101" s="404"/>
      <c r="I101" s="404"/>
      <c r="J101" s="404"/>
      <c r="K101" s="404"/>
      <c r="N101" s="404"/>
      <c r="O101" s="404"/>
      <c r="P101" s="404"/>
      <c r="Q101" s="404"/>
      <c r="R101" s="404"/>
      <c r="S101" s="404"/>
      <c r="V101" s="404"/>
      <c r="W101" s="404"/>
      <c r="X101" s="404"/>
      <c r="Y101" s="404"/>
      <c r="Z101" s="404"/>
      <c r="AA101" s="404"/>
      <c r="AB101" s="404"/>
      <c r="AC101" s="404"/>
      <c r="AD101" s="404"/>
      <c r="AE101" s="404"/>
      <c r="AF101" s="404"/>
      <c r="AG101" s="404"/>
      <c r="AH101" s="404"/>
      <c r="AI101" s="404"/>
      <c r="AJ101" s="404"/>
      <c r="AK101" s="404"/>
      <c r="AL101" s="404"/>
      <c r="AM101" s="404"/>
      <c r="AN101" s="404"/>
      <c r="AO101" s="404"/>
      <c r="AP101" s="404"/>
      <c r="AQ101" s="404"/>
      <c r="AR101" s="404"/>
      <c r="AS101" s="404"/>
      <c r="AT101" s="404"/>
      <c r="AU101" s="404"/>
      <c r="AV101" s="404"/>
      <c r="AW101" s="404"/>
      <c r="AX101" s="404"/>
      <c r="AY101" s="404"/>
      <c r="AZ101" s="404"/>
      <c r="BA101" s="404"/>
      <c r="BB101" s="404"/>
      <c r="BC101" s="404"/>
      <c r="BD101" s="404"/>
      <c r="BE101" s="404"/>
      <c r="BF101" s="404"/>
      <c r="BG101" s="404"/>
      <c r="BH101" s="404"/>
      <c r="BI101" s="404"/>
      <c r="BJ101" s="404"/>
      <c r="BK101" s="404"/>
      <c r="BL101" s="404"/>
      <c r="BM101" s="404"/>
      <c r="BN101" s="404"/>
      <c r="BO101" s="404"/>
      <c r="BQ101" s="412" t="s">
        <v>422</v>
      </c>
      <c r="BR101" s="371" t="n">
        <f aca="false">-BR80</f>
        <v>-1551.5</v>
      </c>
    </row>
    <row r="102" customFormat="false" ht="13.8" hidden="false" customHeight="false" outlineLevel="0" collapsed="false">
      <c r="F102" s="404"/>
      <c r="I102" s="404"/>
      <c r="J102" s="404"/>
      <c r="K102" s="404"/>
      <c r="N102" s="404"/>
      <c r="O102" s="404"/>
      <c r="P102" s="404"/>
      <c r="Q102" s="404"/>
      <c r="R102" s="404"/>
      <c r="S102" s="404"/>
      <c r="V102" s="404"/>
      <c r="W102" s="404"/>
      <c r="X102" s="404"/>
      <c r="Y102" s="404"/>
      <c r="Z102" s="404"/>
      <c r="AA102" s="404"/>
      <c r="AB102" s="404"/>
      <c r="AC102" s="404"/>
      <c r="AD102" s="404"/>
      <c r="AE102" s="404"/>
      <c r="AF102" s="404"/>
      <c r="AG102" s="404"/>
      <c r="AH102" s="404"/>
      <c r="AI102" s="404"/>
      <c r="AJ102" s="404"/>
      <c r="AK102" s="404"/>
      <c r="AL102" s="404"/>
      <c r="AM102" s="404"/>
      <c r="AN102" s="404"/>
      <c r="AO102" s="404"/>
      <c r="AP102" s="404"/>
      <c r="AQ102" s="404"/>
      <c r="AR102" s="404"/>
      <c r="AS102" s="404"/>
      <c r="AT102" s="404"/>
      <c r="AU102" s="404"/>
      <c r="AV102" s="404"/>
      <c r="AW102" s="404"/>
      <c r="AX102" s="404"/>
      <c r="AY102" s="404"/>
      <c r="AZ102" s="404"/>
      <c r="BA102" s="404"/>
      <c r="BB102" s="404"/>
      <c r="BC102" s="404"/>
      <c r="BD102" s="404"/>
      <c r="BE102" s="404"/>
      <c r="BF102" s="404"/>
      <c r="BG102" s="404"/>
      <c r="BH102" s="404"/>
      <c r="BI102" s="404"/>
      <c r="BJ102" s="404"/>
      <c r="BK102" s="404"/>
      <c r="BL102" s="404"/>
      <c r="BM102" s="404"/>
      <c r="BN102" s="404"/>
      <c r="BO102" s="404"/>
      <c r="BP102" s="413" t="s">
        <v>673</v>
      </c>
      <c r="BQ102" s="412"/>
      <c r="BR102" s="371"/>
    </row>
    <row r="103" customFormat="false" ht="13.8" hidden="false" customHeight="false" outlineLevel="0" collapsed="false">
      <c r="F103" s="404"/>
      <c r="I103" s="404"/>
      <c r="J103" s="404"/>
      <c r="K103" s="404"/>
      <c r="N103" s="404"/>
      <c r="O103" s="404"/>
      <c r="P103" s="404"/>
      <c r="Q103" s="404"/>
      <c r="R103" s="404"/>
      <c r="S103" s="404"/>
      <c r="V103" s="404"/>
      <c r="W103" s="404"/>
      <c r="X103" s="404"/>
      <c r="Y103" s="404"/>
      <c r="Z103" s="404"/>
      <c r="AA103" s="404"/>
      <c r="AB103" s="404"/>
      <c r="AC103" s="404"/>
      <c r="AD103" s="404"/>
      <c r="AE103" s="404"/>
      <c r="AF103" s="404"/>
      <c r="AG103" s="404"/>
      <c r="AH103" s="404"/>
      <c r="AI103" s="404"/>
      <c r="AJ103" s="404"/>
      <c r="AK103" s="404"/>
      <c r="AL103" s="404"/>
      <c r="AM103" s="404"/>
      <c r="AN103" s="404"/>
      <c r="AO103" s="404"/>
      <c r="AP103" s="404"/>
      <c r="AQ103" s="404"/>
      <c r="AR103" s="404"/>
      <c r="AS103" s="404"/>
      <c r="AT103" s="404"/>
      <c r="AU103" s="404"/>
      <c r="AV103" s="404"/>
      <c r="AW103" s="404"/>
      <c r="AX103" s="404"/>
      <c r="AY103" s="404"/>
      <c r="AZ103" s="404"/>
      <c r="BA103" s="404"/>
      <c r="BB103" s="404"/>
      <c r="BC103" s="404"/>
      <c r="BD103" s="404"/>
      <c r="BE103" s="404"/>
      <c r="BF103" s="404"/>
      <c r="BG103" s="404"/>
      <c r="BH103" s="404"/>
      <c r="BI103" s="404"/>
      <c r="BJ103" s="404"/>
      <c r="BK103" s="404"/>
      <c r="BL103" s="404"/>
      <c r="BM103" s="404"/>
      <c r="BN103" s="404"/>
      <c r="BO103" s="404"/>
      <c r="BP103" s="404"/>
      <c r="BQ103" s="414" t="s">
        <v>674</v>
      </c>
    </row>
    <row r="104" customFormat="false" ht="13.8" hidden="false" customHeight="false" outlineLevel="0" collapsed="false">
      <c r="F104" s="404"/>
      <c r="I104" s="404"/>
      <c r="J104" s="404"/>
      <c r="K104" s="404"/>
      <c r="N104" s="404"/>
      <c r="O104" s="404"/>
      <c r="P104" s="404"/>
      <c r="Q104" s="404"/>
      <c r="R104" s="404"/>
      <c r="S104" s="404"/>
      <c r="V104" s="404"/>
      <c r="W104" s="404"/>
      <c r="X104" s="404"/>
      <c r="Y104" s="404"/>
      <c r="Z104" s="404"/>
      <c r="AA104" s="404"/>
      <c r="AB104" s="404"/>
      <c r="AC104" s="404"/>
      <c r="AD104" s="404"/>
      <c r="AE104" s="404"/>
      <c r="AF104" s="404"/>
      <c r="AG104" s="404"/>
      <c r="AH104" s="404"/>
      <c r="AI104" s="404"/>
      <c r="AJ104" s="404"/>
      <c r="AK104" s="404"/>
      <c r="AL104" s="404"/>
      <c r="AM104" s="404"/>
      <c r="AN104" s="404"/>
      <c r="AO104" s="404"/>
      <c r="AP104" s="404"/>
      <c r="AQ104" s="404"/>
      <c r="AR104" s="404"/>
      <c r="AS104" s="404"/>
      <c r="AT104" s="404"/>
      <c r="AU104" s="404"/>
      <c r="AV104" s="404"/>
      <c r="AW104" s="404"/>
      <c r="AX104" s="404"/>
      <c r="AY104" s="404"/>
      <c r="AZ104" s="404"/>
      <c r="BA104" s="404"/>
      <c r="BB104" s="404"/>
      <c r="BC104" s="404"/>
      <c r="BD104" s="404"/>
      <c r="BE104" s="404"/>
      <c r="BF104" s="404"/>
      <c r="BG104" s="404"/>
      <c r="BH104" s="404"/>
      <c r="BI104" s="404"/>
      <c r="BJ104" s="404"/>
      <c r="BK104" s="404"/>
      <c r="BL104" s="404"/>
      <c r="BM104" s="404"/>
      <c r="BN104" s="404"/>
      <c r="BO104" s="404"/>
      <c r="BP104" s="404"/>
      <c r="BQ104" s="415" t="s">
        <v>421</v>
      </c>
      <c r="BR104" s="409" t="n">
        <f aca="false">+BR49</f>
        <v>-2160.5</v>
      </c>
    </row>
    <row r="105" customFormat="false" ht="13.2" hidden="false" customHeight="false" outlineLevel="0" collapsed="false">
      <c r="F105" s="404"/>
      <c r="I105" s="404"/>
      <c r="J105" s="404"/>
      <c r="K105" s="404"/>
      <c r="N105" s="404"/>
      <c r="O105" s="404"/>
      <c r="P105" s="404"/>
      <c r="Q105" s="404"/>
      <c r="R105" s="404"/>
      <c r="S105" s="404"/>
      <c r="V105" s="404"/>
      <c r="W105" s="404"/>
      <c r="X105" s="404"/>
      <c r="Y105" s="404"/>
      <c r="Z105" s="404"/>
      <c r="AA105" s="404"/>
      <c r="AB105" s="404"/>
      <c r="AC105" s="404"/>
      <c r="AD105" s="404"/>
      <c r="AE105" s="404"/>
      <c r="AF105" s="404"/>
      <c r="AG105" s="404"/>
      <c r="AH105" s="404"/>
      <c r="AI105" s="404"/>
      <c r="AJ105" s="404"/>
      <c r="AK105" s="404"/>
      <c r="AL105" s="404"/>
      <c r="AM105" s="404"/>
      <c r="AN105" s="404"/>
      <c r="AO105" s="404"/>
      <c r="AP105" s="404"/>
      <c r="AQ105" s="404"/>
      <c r="AR105" s="404"/>
      <c r="AS105" s="404"/>
      <c r="AT105" s="404"/>
      <c r="AU105" s="404"/>
      <c r="AV105" s="404"/>
      <c r="AW105" s="404"/>
      <c r="AX105" s="404"/>
      <c r="AY105" s="404"/>
      <c r="AZ105" s="404"/>
      <c r="BA105" s="404"/>
      <c r="BB105" s="404"/>
      <c r="BC105" s="404"/>
      <c r="BD105" s="404"/>
      <c r="BE105" s="404"/>
      <c r="BF105" s="404"/>
      <c r="BG105" s="404"/>
      <c r="BH105" s="404"/>
      <c r="BI105" s="404"/>
      <c r="BJ105" s="404"/>
      <c r="BK105" s="404"/>
      <c r="BL105" s="404"/>
      <c r="BM105" s="404"/>
      <c r="BN105" s="404"/>
      <c r="BO105" s="404"/>
      <c r="BP105" s="404"/>
      <c r="BQ105" s="404"/>
      <c r="BR105" s="371" t="n">
        <f aca="false">+BR97+BR100+BR101+BR104</f>
        <v>2562</v>
      </c>
    </row>
    <row r="106" customFormat="false" ht="13.2" hidden="false" customHeight="false" outlineLevel="0" collapsed="false">
      <c r="F106" s="404"/>
      <c r="I106" s="404"/>
      <c r="J106" s="404"/>
      <c r="K106" s="404"/>
      <c r="N106" s="404"/>
      <c r="O106" s="404"/>
      <c r="P106" s="404"/>
      <c r="Q106" s="404"/>
      <c r="R106" s="404"/>
      <c r="S106" s="404"/>
      <c r="V106" s="404"/>
      <c r="W106" s="404"/>
      <c r="X106" s="404"/>
      <c r="Y106" s="404"/>
      <c r="Z106" s="404"/>
      <c r="AA106" s="404"/>
      <c r="AB106" s="404"/>
      <c r="AC106" s="404"/>
      <c r="AD106" s="404"/>
      <c r="AE106" s="404"/>
      <c r="AF106" s="404"/>
      <c r="AG106" s="404"/>
      <c r="AH106" s="404"/>
      <c r="AI106" s="404"/>
      <c r="AJ106" s="404"/>
      <c r="AK106" s="404"/>
      <c r="AL106" s="404"/>
      <c r="AM106" s="404"/>
      <c r="AN106" s="404"/>
      <c r="AO106" s="404"/>
      <c r="AP106" s="404"/>
      <c r="AQ106" s="404"/>
      <c r="AR106" s="404"/>
      <c r="AS106" s="404"/>
      <c r="AT106" s="404"/>
      <c r="AU106" s="404"/>
      <c r="AV106" s="404"/>
      <c r="AW106" s="404"/>
      <c r="AX106" s="404"/>
      <c r="AY106" s="404"/>
      <c r="AZ106" s="404"/>
      <c r="BA106" s="404"/>
      <c r="BB106" s="404"/>
      <c r="BC106" s="404"/>
      <c r="BD106" s="404"/>
      <c r="BE106" s="404"/>
      <c r="BF106" s="404"/>
      <c r="BG106" s="404"/>
      <c r="BH106" s="404"/>
      <c r="BI106" s="404"/>
      <c r="BJ106" s="404"/>
      <c r="BK106" s="404"/>
      <c r="BL106" s="404"/>
      <c r="BM106" s="404"/>
      <c r="BN106" s="404"/>
      <c r="BO106" s="404"/>
      <c r="BP106" s="404"/>
      <c r="BQ106" s="407" t="s">
        <v>675</v>
      </c>
      <c r="BR106" s="404"/>
    </row>
    <row r="107" customFormat="false" ht="13.2" hidden="false" customHeight="false" outlineLevel="0" collapsed="false">
      <c r="F107" s="404"/>
      <c r="I107" s="404"/>
      <c r="J107" s="404"/>
      <c r="K107" s="404"/>
      <c r="N107" s="404"/>
      <c r="O107" s="404"/>
      <c r="P107" s="404"/>
      <c r="Q107" s="404"/>
      <c r="R107" s="404"/>
      <c r="S107" s="404"/>
      <c r="V107" s="404"/>
      <c r="W107" s="404"/>
      <c r="X107" s="404"/>
      <c r="Y107" s="404"/>
      <c r="Z107" s="404"/>
      <c r="AA107" s="404"/>
      <c r="AB107" s="404"/>
      <c r="AC107" s="404"/>
      <c r="AD107" s="404"/>
      <c r="AE107" s="404"/>
      <c r="AF107" s="404"/>
      <c r="AG107" s="404"/>
      <c r="AH107" s="404"/>
      <c r="AI107" s="404"/>
      <c r="AJ107" s="404"/>
      <c r="AK107" s="404"/>
      <c r="AL107" s="404"/>
      <c r="AM107" s="404"/>
      <c r="AN107" s="404"/>
      <c r="AO107" s="404"/>
      <c r="AP107" s="404"/>
      <c r="AQ107" s="404"/>
      <c r="AR107" s="404"/>
      <c r="AS107" s="404"/>
      <c r="AT107" s="404"/>
      <c r="AU107" s="404"/>
      <c r="AV107" s="404"/>
      <c r="AW107" s="404"/>
      <c r="AX107" s="404"/>
      <c r="AY107" s="404"/>
      <c r="AZ107" s="404"/>
      <c r="BA107" s="404"/>
      <c r="BB107" s="404"/>
      <c r="BC107" s="404"/>
      <c r="BD107" s="404"/>
      <c r="BE107" s="404"/>
      <c r="BF107" s="404"/>
      <c r="BG107" s="404"/>
      <c r="BH107" s="404"/>
      <c r="BI107" s="404"/>
      <c r="BJ107" s="404"/>
      <c r="BK107" s="404"/>
      <c r="BL107" s="404"/>
      <c r="BM107" s="404"/>
      <c r="BN107" s="404"/>
      <c r="BO107" s="404"/>
      <c r="BP107" s="404"/>
      <c r="BQ107" s="410" t="s">
        <v>421</v>
      </c>
      <c r="BR107" s="408" t="n">
        <f aca="false">+BR100+BR104</f>
        <v>-2374.5</v>
      </c>
    </row>
    <row r="108" customFormat="false" ht="13.2" hidden="false" customHeight="false" outlineLevel="0" collapsed="false">
      <c r="F108" s="404"/>
      <c r="I108" s="404"/>
      <c r="J108" s="404"/>
      <c r="K108" s="404"/>
      <c r="N108" s="404"/>
      <c r="O108" s="404"/>
      <c r="P108" s="404"/>
      <c r="Q108" s="404"/>
      <c r="R108" s="404"/>
      <c r="S108" s="404"/>
      <c r="V108" s="404"/>
      <c r="W108" s="404"/>
      <c r="X108" s="404"/>
      <c r="Y108" s="404"/>
      <c r="Z108" s="404"/>
      <c r="AA108" s="404"/>
      <c r="AB108" s="404"/>
      <c r="AC108" s="404"/>
      <c r="AD108" s="404"/>
      <c r="AE108" s="404"/>
      <c r="AF108" s="404"/>
      <c r="AG108" s="404"/>
      <c r="AH108" s="404"/>
      <c r="AI108" s="404"/>
      <c r="AJ108" s="404"/>
      <c r="AK108" s="404"/>
      <c r="AL108" s="404"/>
      <c r="AM108" s="404"/>
      <c r="AN108" s="404"/>
      <c r="AO108" s="404"/>
      <c r="AP108" s="404"/>
      <c r="AQ108" s="404"/>
      <c r="AR108" s="404"/>
      <c r="AS108" s="404"/>
      <c r="AT108" s="404"/>
      <c r="AU108" s="404"/>
      <c r="AV108" s="404"/>
      <c r="AW108" s="404"/>
      <c r="AX108" s="404"/>
      <c r="AY108" s="404"/>
      <c r="AZ108" s="404"/>
      <c r="BA108" s="404"/>
      <c r="BB108" s="404"/>
      <c r="BC108" s="404"/>
      <c r="BD108" s="404"/>
      <c r="BE108" s="404"/>
      <c r="BF108" s="404"/>
      <c r="BG108" s="404"/>
      <c r="BH108" s="404"/>
      <c r="BI108" s="404"/>
      <c r="BJ108" s="404"/>
      <c r="BK108" s="404"/>
      <c r="BL108" s="404"/>
      <c r="BM108" s="404"/>
      <c r="BN108" s="404"/>
      <c r="BO108" s="404"/>
      <c r="BP108" s="404"/>
      <c r="BQ108" s="410" t="s">
        <v>422</v>
      </c>
      <c r="BR108" s="384" t="n">
        <f aca="false">+BR101</f>
        <v>-1551.5</v>
      </c>
    </row>
    <row r="109" customFormat="false" ht="13.2" hidden="false" customHeight="false" outlineLevel="0" collapsed="false">
      <c r="F109" s="404"/>
      <c r="I109" s="404"/>
      <c r="J109" s="404"/>
      <c r="K109" s="404"/>
      <c r="N109" s="404"/>
      <c r="O109" s="404"/>
      <c r="P109" s="404"/>
      <c r="Q109" s="404"/>
      <c r="R109" s="404"/>
      <c r="S109" s="404"/>
      <c r="V109" s="404"/>
      <c r="W109" s="404"/>
      <c r="X109" s="404"/>
      <c r="Y109" s="404"/>
      <c r="Z109" s="404"/>
      <c r="AA109" s="404"/>
      <c r="AB109" s="404"/>
      <c r="AC109" s="404"/>
      <c r="AD109" s="404"/>
      <c r="AE109" s="404"/>
      <c r="AF109" s="404"/>
      <c r="AG109" s="404"/>
      <c r="AH109" s="404"/>
      <c r="AI109" s="404"/>
      <c r="AJ109" s="404"/>
      <c r="AK109" s="404"/>
      <c r="AL109" s="404"/>
      <c r="AM109" s="404"/>
      <c r="AN109" s="404"/>
      <c r="AO109" s="404"/>
      <c r="AP109" s="404"/>
      <c r="AQ109" s="404"/>
      <c r="AR109" s="404"/>
      <c r="AS109" s="404"/>
      <c r="AT109" s="404"/>
      <c r="AU109" s="404"/>
      <c r="AV109" s="404"/>
      <c r="AW109" s="404"/>
      <c r="AX109" s="404"/>
      <c r="AY109" s="404"/>
      <c r="AZ109" s="404"/>
      <c r="BA109" s="404"/>
      <c r="BB109" s="404"/>
      <c r="BC109" s="404"/>
      <c r="BD109" s="404"/>
      <c r="BE109" s="404"/>
      <c r="BF109" s="404"/>
      <c r="BG109" s="404"/>
      <c r="BH109" s="404"/>
      <c r="BI109" s="404" t="n">
        <f aca="false">+BR97+BR109=BR105</f>
        <v>1</v>
      </c>
      <c r="BJ109" s="404"/>
      <c r="BK109" s="404"/>
      <c r="BL109" s="404"/>
      <c r="BM109" s="404"/>
      <c r="BN109" s="404"/>
      <c r="BO109" s="404"/>
      <c r="BP109" s="404"/>
      <c r="BQ109" s="404"/>
      <c r="BR109" s="371" t="n">
        <f aca="false">+BR107+BR108</f>
        <v>-3926</v>
      </c>
    </row>
    <row r="110" customFormat="false" ht="13.2" hidden="false" customHeight="false" outlineLevel="0" collapsed="false">
      <c r="F110" s="404"/>
      <c r="I110" s="404"/>
      <c r="J110" s="404"/>
      <c r="K110" s="404"/>
      <c r="N110" s="404"/>
      <c r="O110" s="404"/>
      <c r="P110" s="404"/>
      <c r="Q110" s="404"/>
      <c r="R110" s="404"/>
      <c r="S110" s="404"/>
      <c r="V110" s="404"/>
      <c r="W110" s="404"/>
      <c r="X110" s="404"/>
      <c r="Y110" s="404"/>
      <c r="Z110" s="404"/>
      <c r="AA110" s="404"/>
      <c r="AB110" s="404"/>
      <c r="AC110" s="404"/>
      <c r="AD110" s="404"/>
      <c r="AE110" s="404"/>
      <c r="AF110" s="404"/>
      <c r="AG110" s="404"/>
      <c r="AH110" s="404"/>
      <c r="AI110" s="404"/>
      <c r="AJ110" s="404"/>
      <c r="AK110" s="404"/>
      <c r="AL110" s="404"/>
      <c r="AM110" s="404"/>
      <c r="AN110" s="404"/>
      <c r="AO110" s="404"/>
      <c r="AP110" s="404"/>
      <c r="AQ110" s="404"/>
      <c r="AR110" s="404"/>
      <c r="AS110" s="404"/>
      <c r="AT110" s="404"/>
      <c r="AU110" s="404"/>
      <c r="AV110" s="404"/>
      <c r="AW110" s="404"/>
      <c r="AX110" s="404"/>
      <c r="AY110" s="404"/>
      <c r="AZ110" s="404"/>
      <c r="BA110" s="404"/>
      <c r="BB110" s="404"/>
      <c r="BC110" s="404"/>
      <c r="BD110" s="404"/>
      <c r="BE110" s="404"/>
      <c r="BF110" s="404"/>
      <c r="BG110" s="404"/>
      <c r="BH110" s="404"/>
      <c r="BI110" s="404"/>
      <c r="BJ110" s="404"/>
      <c r="BK110" s="404"/>
      <c r="BL110" s="404"/>
      <c r="BM110" s="404"/>
      <c r="BN110" s="404"/>
      <c r="BO110" s="404"/>
      <c r="BP110" s="404"/>
      <c r="BQ110" s="404"/>
      <c r="BR110" s="404"/>
    </row>
    <row r="111" customFormat="false" ht="13.2" hidden="false" customHeight="false" outlineLevel="0" collapsed="false">
      <c r="F111" s="404"/>
      <c r="I111" s="404"/>
      <c r="J111" s="404"/>
      <c r="K111" s="404"/>
      <c r="N111" s="404"/>
      <c r="O111" s="404"/>
      <c r="P111" s="404"/>
      <c r="Q111" s="404"/>
      <c r="R111" s="404"/>
      <c r="S111" s="404"/>
      <c r="V111" s="404"/>
      <c r="W111" s="404"/>
      <c r="X111" s="404"/>
      <c r="Y111" s="404"/>
      <c r="Z111" s="404"/>
      <c r="AA111" s="404"/>
      <c r="AB111" s="404"/>
      <c r="AC111" s="404"/>
      <c r="AD111" s="404"/>
      <c r="AE111" s="404"/>
      <c r="AF111" s="404"/>
      <c r="AG111" s="404"/>
      <c r="AH111" s="404"/>
      <c r="AI111" s="404"/>
      <c r="AJ111" s="404"/>
      <c r="AK111" s="404"/>
      <c r="AL111" s="404"/>
      <c r="AM111" s="404"/>
      <c r="AN111" s="404"/>
      <c r="AO111" s="404"/>
      <c r="AP111" s="404"/>
      <c r="AQ111" s="404"/>
      <c r="AR111" s="404"/>
      <c r="AS111" s="404"/>
      <c r="AT111" s="404"/>
      <c r="AU111" s="404"/>
      <c r="AV111" s="404"/>
      <c r="AW111" s="404"/>
      <c r="AX111" s="404"/>
      <c r="AY111" s="404"/>
      <c r="AZ111" s="404"/>
      <c r="BA111" s="404"/>
      <c r="BB111" s="404"/>
      <c r="BC111" s="404"/>
      <c r="BD111" s="404"/>
      <c r="BE111" s="404"/>
      <c r="BF111" s="404"/>
      <c r="BG111" s="404"/>
      <c r="BH111" s="404"/>
      <c r="BI111" s="404"/>
      <c r="BJ111" s="404"/>
      <c r="BK111" s="404"/>
      <c r="BL111" s="404"/>
      <c r="BM111" s="404"/>
      <c r="BN111" s="404"/>
      <c r="BO111" s="404"/>
      <c r="BP111" s="404"/>
      <c r="BQ111" s="404"/>
      <c r="BR111" s="404"/>
    </row>
    <row r="112" customFormat="false" ht="13.2" hidden="false" customHeight="false" outlineLevel="0" collapsed="false">
      <c r="F112" s="404"/>
      <c r="I112" s="404"/>
      <c r="J112" s="404"/>
      <c r="K112" s="404"/>
      <c r="N112" s="404"/>
      <c r="O112" s="404"/>
      <c r="P112" s="404"/>
      <c r="Q112" s="404"/>
      <c r="R112" s="404"/>
      <c r="S112" s="404"/>
      <c r="V112" s="404"/>
      <c r="W112" s="404"/>
      <c r="X112" s="404"/>
      <c r="Y112" s="404"/>
      <c r="Z112" s="404"/>
      <c r="AA112" s="404"/>
      <c r="AB112" s="404"/>
      <c r="AC112" s="404"/>
      <c r="AD112" s="404"/>
      <c r="AE112" s="404"/>
      <c r="AF112" s="404"/>
      <c r="AG112" s="404"/>
      <c r="AH112" s="404"/>
      <c r="AI112" s="404"/>
      <c r="AJ112" s="404"/>
      <c r="AK112" s="404"/>
      <c r="AL112" s="404"/>
      <c r="AM112" s="404"/>
      <c r="AN112" s="404"/>
      <c r="AO112" s="404"/>
      <c r="AP112" s="404"/>
      <c r="AQ112" s="404"/>
      <c r="AR112" s="404"/>
      <c r="AS112" s="404"/>
      <c r="AT112" s="404"/>
      <c r="AU112" s="404"/>
      <c r="AV112" s="404"/>
      <c r="AW112" s="404"/>
      <c r="AX112" s="404"/>
      <c r="AY112" s="404"/>
      <c r="AZ112" s="404"/>
      <c r="BA112" s="404"/>
      <c r="BB112" s="404"/>
      <c r="BC112" s="404"/>
      <c r="BD112" s="404"/>
      <c r="BE112" s="404"/>
      <c r="BF112" s="404"/>
      <c r="BG112" s="404"/>
      <c r="BH112" s="404"/>
      <c r="BI112" s="404"/>
      <c r="BJ112" s="404"/>
      <c r="BK112" s="404"/>
      <c r="BL112" s="404"/>
      <c r="BM112" s="404"/>
      <c r="BN112" s="404"/>
      <c r="BO112" s="404"/>
      <c r="BP112" s="404"/>
      <c r="BQ112" s="404"/>
      <c r="BR112" s="404"/>
    </row>
    <row r="113" customFormat="false" ht="13.2" hidden="false" customHeight="false" outlineLevel="0" collapsed="false">
      <c r="F113" s="404"/>
      <c r="I113" s="404"/>
      <c r="J113" s="404"/>
      <c r="K113" s="404"/>
      <c r="N113" s="404"/>
      <c r="O113" s="404"/>
      <c r="P113" s="404"/>
      <c r="Q113" s="404"/>
      <c r="R113" s="404"/>
      <c r="S113" s="404"/>
      <c r="V113" s="404"/>
      <c r="W113" s="404"/>
      <c r="X113" s="404"/>
      <c r="Y113" s="404"/>
      <c r="Z113" s="404"/>
      <c r="AA113" s="404"/>
      <c r="AB113" s="404"/>
      <c r="AC113" s="404"/>
      <c r="AD113" s="404"/>
      <c r="AE113" s="404"/>
      <c r="AF113" s="404"/>
      <c r="AG113" s="404"/>
      <c r="AH113" s="404"/>
      <c r="AI113" s="404"/>
      <c r="AJ113" s="404"/>
      <c r="AK113" s="404"/>
      <c r="AL113" s="404"/>
      <c r="AM113" s="404"/>
      <c r="AN113" s="404"/>
      <c r="AO113" s="404"/>
      <c r="AP113" s="404"/>
      <c r="AQ113" s="404"/>
      <c r="AR113" s="404"/>
      <c r="AS113" s="404"/>
      <c r="AT113" s="404"/>
      <c r="AU113" s="404"/>
      <c r="AV113" s="404"/>
      <c r="AW113" s="404"/>
      <c r="AX113" s="404"/>
      <c r="AY113" s="404"/>
      <c r="AZ113" s="404"/>
      <c r="BA113" s="404"/>
      <c r="BB113" s="404"/>
      <c r="BC113" s="404"/>
      <c r="BD113" s="404"/>
      <c r="BE113" s="404"/>
      <c r="BF113" s="404"/>
      <c r="BG113" s="404"/>
      <c r="BH113" s="404"/>
      <c r="BI113" s="404"/>
      <c r="BJ113" s="404"/>
      <c r="BK113" s="404"/>
      <c r="BL113" s="404"/>
      <c r="BM113" s="404"/>
      <c r="BN113" s="404"/>
      <c r="BO113" s="404"/>
      <c r="BP113" s="404"/>
      <c r="BQ113" s="404"/>
      <c r="BR113" s="404"/>
    </row>
    <row r="114" customFormat="false" ht="13.2" hidden="false" customHeight="false" outlineLevel="0" collapsed="false">
      <c r="F114" s="404"/>
      <c r="I114" s="404"/>
      <c r="J114" s="404"/>
      <c r="K114" s="404"/>
      <c r="N114" s="404"/>
      <c r="O114" s="404"/>
      <c r="P114" s="404"/>
      <c r="Q114" s="404"/>
      <c r="R114" s="404"/>
      <c r="S114" s="404"/>
      <c r="V114" s="404"/>
      <c r="W114" s="404"/>
      <c r="X114" s="404"/>
      <c r="Y114" s="404"/>
      <c r="Z114" s="404"/>
      <c r="AA114" s="404"/>
      <c r="AB114" s="404"/>
      <c r="AC114" s="404"/>
      <c r="AD114" s="404"/>
      <c r="AE114" s="404"/>
      <c r="AF114" s="404"/>
      <c r="AG114" s="404"/>
      <c r="AH114" s="404"/>
      <c r="AI114" s="404"/>
      <c r="AJ114" s="404"/>
      <c r="AK114" s="404"/>
      <c r="AL114" s="404"/>
      <c r="AM114" s="404"/>
      <c r="AN114" s="404"/>
      <c r="AO114" s="404"/>
      <c r="AP114" s="404"/>
      <c r="AQ114" s="404"/>
      <c r="AR114" s="404"/>
      <c r="AS114" s="404"/>
      <c r="AT114" s="404"/>
      <c r="AU114" s="404"/>
      <c r="AV114" s="404"/>
      <c r="AW114" s="404"/>
      <c r="AX114" s="404"/>
      <c r="AY114" s="404"/>
      <c r="AZ114" s="404"/>
      <c r="BA114" s="404"/>
      <c r="BB114" s="404"/>
      <c r="BC114" s="404"/>
      <c r="BD114" s="404"/>
      <c r="BE114" s="404"/>
      <c r="BF114" s="404"/>
      <c r="BG114" s="404"/>
      <c r="BH114" s="404"/>
      <c r="BI114" s="404"/>
      <c r="BJ114" s="404"/>
      <c r="BK114" s="404"/>
      <c r="BL114" s="404"/>
      <c r="BM114" s="404"/>
      <c r="BN114" s="404"/>
      <c r="BO114" s="404"/>
      <c r="BP114" s="404"/>
      <c r="BQ114" s="404"/>
      <c r="BR114" s="404"/>
    </row>
    <row r="115" customFormat="false" ht="13.2" hidden="false" customHeight="false" outlineLevel="0" collapsed="false">
      <c r="F115" s="404"/>
      <c r="I115" s="404"/>
      <c r="J115" s="404"/>
      <c r="K115" s="404"/>
      <c r="N115" s="404"/>
      <c r="O115" s="404"/>
      <c r="P115" s="404"/>
      <c r="Q115" s="404"/>
      <c r="R115" s="404"/>
      <c r="S115" s="404"/>
      <c r="V115" s="404"/>
      <c r="W115" s="404"/>
      <c r="X115" s="404"/>
      <c r="Y115" s="404"/>
      <c r="Z115" s="404"/>
      <c r="AA115" s="404"/>
      <c r="AB115" s="404"/>
      <c r="AC115" s="404"/>
      <c r="AD115" s="404"/>
      <c r="AE115" s="404"/>
      <c r="AF115" s="404"/>
      <c r="AG115" s="404"/>
      <c r="AH115" s="404"/>
      <c r="AI115" s="404"/>
      <c r="AJ115" s="404"/>
      <c r="AK115" s="404"/>
      <c r="AL115" s="404"/>
      <c r="AM115" s="404"/>
      <c r="AN115" s="404"/>
      <c r="AO115" s="404"/>
      <c r="AP115" s="404"/>
      <c r="AQ115" s="404"/>
      <c r="AR115" s="404"/>
      <c r="AS115" s="404"/>
      <c r="AT115" s="404"/>
      <c r="AU115" s="404"/>
      <c r="AV115" s="404"/>
      <c r="AW115" s="404"/>
      <c r="AX115" s="404"/>
      <c r="AY115" s="404"/>
      <c r="AZ115" s="404"/>
      <c r="BA115" s="404"/>
      <c r="BB115" s="404"/>
      <c r="BC115" s="404"/>
      <c r="BD115" s="404"/>
      <c r="BE115" s="404"/>
      <c r="BF115" s="404"/>
      <c r="BG115" s="404"/>
      <c r="BH115" s="404"/>
      <c r="BI115" s="404"/>
      <c r="BJ115" s="404"/>
      <c r="BK115" s="404"/>
      <c r="BL115" s="404"/>
      <c r="BM115" s="404"/>
      <c r="BN115" s="404"/>
      <c r="BO115" s="404"/>
      <c r="BP115" s="404"/>
      <c r="BQ115" s="404"/>
      <c r="BR115" s="404"/>
    </row>
    <row r="116" customFormat="false" ht="13.2" hidden="false" customHeight="false" outlineLevel="0" collapsed="false">
      <c r="F116" s="404"/>
      <c r="I116" s="404"/>
      <c r="J116" s="404"/>
      <c r="K116" s="404"/>
      <c r="N116" s="404"/>
      <c r="O116" s="404"/>
      <c r="P116" s="404"/>
      <c r="Q116" s="404"/>
      <c r="R116" s="404"/>
      <c r="S116" s="404"/>
      <c r="V116" s="404"/>
      <c r="W116" s="404"/>
      <c r="X116" s="404"/>
      <c r="Y116" s="404"/>
      <c r="Z116" s="404"/>
      <c r="AA116" s="404"/>
      <c r="AB116" s="404"/>
      <c r="AC116" s="404"/>
      <c r="AD116" s="404"/>
      <c r="AE116" s="404"/>
      <c r="AF116" s="404"/>
      <c r="AG116" s="404"/>
      <c r="AH116" s="404"/>
      <c r="AI116" s="404"/>
      <c r="AJ116" s="404"/>
      <c r="AK116" s="404"/>
      <c r="AL116" s="404"/>
      <c r="AM116" s="404"/>
      <c r="AN116" s="404"/>
      <c r="AO116" s="404"/>
      <c r="AP116" s="404"/>
      <c r="AQ116" s="404"/>
      <c r="AR116" s="404"/>
      <c r="AS116" s="404"/>
      <c r="AT116" s="404"/>
      <c r="AU116" s="404"/>
      <c r="AV116" s="404"/>
      <c r="AW116" s="404"/>
      <c r="AX116" s="404"/>
      <c r="AY116" s="404"/>
      <c r="AZ116" s="404"/>
      <c r="BA116" s="404"/>
      <c r="BB116" s="404"/>
      <c r="BC116" s="404"/>
      <c r="BD116" s="404"/>
      <c r="BE116" s="404"/>
      <c r="BF116" s="404"/>
      <c r="BG116" s="404"/>
      <c r="BH116" s="404"/>
      <c r="BI116" s="404"/>
      <c r="BJ116" s="404"/>
      <c r="BK116" s="404"/>
      <c r="BL116" s="404"/>
      <c r="BM116" s="404"/>
      <c r="BN116" s="404"/>
      <c r="BO116" s="404"/>
      <c r="BP116" s="404"/>
      <c r="BQ116" s="404"/>
      <c r="BR116" s="404"/>
    </row>
    <row r="117" customFormat="false" ht="13.2" hidden="false" customHeight="false" outlineLevel="0" collapsed="false">
      <c r="F117" s="404"/>
      <c r="I117" s="404"/>
      <c r="J117" s="404"/>
      <c r="K117" s="404"/>
      <c r="N117" s="404"/>
      <c r="O117" s="404"/>
      <c r="P117" s="404"/>
      <c r="Q117" s="404"/>
      <c r="R117" s="404"/>
      <c r="S117" s="404"/>
      <c r="V117" s="404"/>
      <c r="W117" s="404"/>
      <c r="X117" s="404"/>
      <c r="Y117" s="404"/>
      <c r="Z117" s="404"/>
      <c r="AA117" s="404"/>
      <c r="AB117" s="404"/>
      <c r="AC117" s="404"/>
      <c r="AD117" s="404"/>
      <c r="AE117" s="404"/>
      <c r="AF117" s="404"/>
      <c r="AG117" s="404"/>
      <c r="AH117" s="404"/>
      <c r="AI117" s="404"/>
      <c r="AJ117" s="404"/>
      <c r="AK117" s="404"/>
      <c r="AL117" s="404"/>
      <c r="AM117" s="404"/>
      <c r="AN117" s="404"/>
      <c r="AO117" s="404"/>
      <c r="AP117" s="404"/>
      <c r="AQ117" s="404"/>
      <c r="AR117" s="404"/>
      <c r="AS117" s="404"/>
      <c r="AT117" s="404"/>
      <c r="AU117" s="404"/>
      <c r="AV117" s="404"/>
      <c r="AW117" s="404"/>
      <c r="AX117" s="404"/>
      <c r="AY117" s="404"/>
      <c r="AZ117" s="404"/>
      <c r="BA117" s="404"/>
      <c r="BB117" s="404"/>
      <c r="BC117" s="404"/>
      <c r="BD117" s="404"/>
      <c r="BE117" s="404"/>
      <c r="BF117" s="404"/>
      <c r="BG117" s="404"/>
      <c r="BH117" s="404"/>
      <c r="BI117" s="404"/>
      <c r="BJ117" s="404"/>
      <c r="BK117" s="404"/>
      <c r="BL117" s="404"/>
      <c r="BM117" s="404"/>
      <c r="BN117" s="404"/>
      <c r="BO117" s="404"/>
      <c r="BP117" s="404"/>
      <c r="BQ117" s="404"/>
      <c r="BR117" s="404"/>
    </row>
    <row r="118" customFormat="false" ht="13.2" hidden="false" customHeight="false" outlineLevel="0" collapsed="false">
      <c r="F118" s="404"/>
      <c r="I118" s="404"/>
      <c r="J118" s="404"/>
      <c r="K118" s="404"/>
      <c r="N118" s="404"/>
      <c r="O118" s="404"/>
      <c r="P118" s="404"/>
      <c r="Q118" s="404"/>
      <c r="R118" s="404"/>
      <c r="S118" s="404"/>
      <c r="V118" s="404"/>
      <c r="W118" s="404"/>
      <c r="X118" s="404"/>
      <c r="Y118" s="404"/>
      <c r="Z118" s="404"/>
      <c r="AA118" s="404"/>
      <c r="AB118" s="404"/>
      <c r="AC118" s="404"/>
      <c r="AD118" s="404"/>
      <c r="AE118" s="404"/>
      <c r="AF118" s="404"/>
      <c r="AG118" s="404"/>
      <c r="AH118" s="404"/>
      <c r="AI118" s="404"/>
      <c r="AJ118" s="404"/>
      <c r="AK118" s="404"/>
      <c r="AL118" s="404"/>
      <c r="AM118" s="404"/>
      <c r="AN118" s="404"/>
      <c r="AO118" s="404"/>
      <c r="AP118" s="404"/>
      <c r="AQ118" s="404"/>
      <c r="AR118" s="404"/>
      <c r="AS118" s="404"/>
      <c r="AT118" s="404"/>
      <c r="AU118" s="404"/>
      <c r="AV118" s="404"/>
      <c r="AW118" s="404"/>
      <c r="AX118" s="404"/>
      <c r="AY118" s="404"/>
      <c r="AZ118" s="404"/>
      <c r="BA118" s="404"/>
      <c r="BB118" s="404"/>
      <c r="BC118" s="404"/>
      <c r="BD118" s="404"/>
      <c r="BE118" s="404"/>
      <c r="BF118" s="404"/>
      <c r="BG118" s="404"/>
      <c r="BH118" s="404"/>
      <c r="BI118" s="404"/>
      <c r="BJ118" s="404"/>
      <c r="BK118" s="404"/>
      <c r="BL118" s="404"/>
      <c r="BM118" s="404"/>
      <c r="BN118" s="404"/>
      <c r="BO118" s="404"/>
      <c r="BP118" s="404"/>
      <c r="BQ118" s="404"/>
      <c r="BR118" s="404"/>
    </row>
    <row r="119" customFormat="false" ht="13.2" hidden="false" customHeight="false" outlineLevel="0" collapsed="false">
      <c r="F119" s="404"/>
      <c r="I119" s="404"/>
      <c r="J119" s="404"/>
      <c r="K119" s="404"/>
      <c r="N119" s="404"/>
      <c r="O119" s="404"/>
      <c r="P119" s="404"/>
      <c r="Q119" s="404"/>
      <c r="R119" s="404"/>
      <c r="S119" s="404"/>
      <c r="V119" s="404"/>
      <c r="W119" s="404"/>
      <c r="X119" s="404"/>
      <c r="Y119" s="404"/>
      <c r="Z119" s="404"/>
      <c r="AA119" s="404"/>
      <c r="AB119" s="404"/>
      <c r="AC119" s="404"/>
      <c r="AD119" s="404"/>
      <c r="AE119" s="404"/>
      <c r="AF119" s="404"/>
      <c r="AG119" s="404"/>
      <c r="AH119" s="404"/>
      <c r="AI119" s="404"/>
      <c r="AJ119" s="404"/>
      <c r="AK119" s="404"/>
      <c r="AL119" s="404"/>
      <c r="AM119" s="404"/>
      <c r="AN119" s="404"/>
      <c r="AO119" s="404"/>
      <c r="AP119" s="404"/>
      <c r="AQ119" s="404"/>
      <c r="AR119" s="404"/>
      <c r="AS119" s="404"/>
      <c r="AT119" s="404"/>
      <c r="AU119" s="404"/>
      <c r="AV119" s="404"/>
      <c r="AW119" s="404"/>
      <c r="AX119" s="404"/>
      <c r="AY119" s="404"/>
      <c r="AZ119" s="404"/>
      <c r="BA119" s="404"/>
      <c r="BB119" s="404"/>
      <c r="BC119" s="404"/>
      <c r="BD119" s="404"/>
      <c r="BE119" s="404"/>
      <c r="BF119" s="404"/>
      <c r="BG119" s="404"/>
      <c r="BH119" s="404"/>
      <c r="BI119" s="404"/>
      <c r="BJ119" s="404"/>
      <c r="BK119" s="404"/>
      <c r="BL119" s="404"/>
      <c r="BM119" s="404"/>
      <c r="BN119" s="404"/>
      <c r="BO119" s="404"/>
      <c r="BP119" s="404"/>
      <c r="BQ119" s="404"/>
      <c r="BR119" s="404"/>
    </row>
    <row r="120" customFormat="false" ht="13.2" hidden="false" customHeight="false" outlineLevel="0" collapsed="false">
      <c r="F120" s="404"/>
      <c r="I120" s="404"/>
      <c r="J120" s="404"/>
      <c r="K120" s="404"/>
      <c r="N120" s="404"/>
      <c r="O120" s="404"/>
      <c r="P120" s="404"/>
      <c r="Q120" s="404"/>
      <c r="R120" s="404"/>
      <c r="S120" s="404"/>
      <c r="V120" s="404"/>
      <c r="W120" s="404"/>
      <c r="X120" s="404"/>
      <c r="Y120" s="404"/>
      <c r="Z120" s="404"/>
      <c r="AA120" s="404"/>
      <c r="AB120" s="404"/>
      <c r="AC120" s="404"/>
      <c r="AD120" s="404"/>
      <c r="AE120" s="404"/>
      <c r="AF120" s="404"/>
      <c r="AG120" s="404"/>
      <c r="AH120" s="404"/>
      <c r="AI120" s="404"/>
      <c r="AJ120" s="404"/>
      <c r="AK120" s="404"/>
      <c r="AL120" s="404"/>
      <c r="AM120" s="404"/>
      <c r="AN120" s="404"/>
      <c r="AO120" s="404"/>
      <c r="AP120" s="404"/>
      <c r="AQ120" s="404"/>
      <c r="AR120" s="404"/>
      <c r="AS120" s="404"/>
      <c r="AT120" s="404"/>
      <c r="AU120" s="404"/>
      <c r="AV120" s="404"/>
      <c r="AW120" s="404"/>
      <c r="AX120" s="404"/>
      <c r="AY120" s="404"/>
      <c r="AZ120" s="404"/>
      <c r="BA120" s="404"/>
      <c r="BB120" s="404"/>
      <c r="BC120" s="404"/>
      <c r="BD120" s="404"/>
      <c r="BE120" s="404"/>
      <c r="BF120" s="404"/>
      <c r="BG120" s="404"/>
      <c r="BH120" s="404"/>
      <c r="BI120" s="404"/>
      <c r="BJ120" s="404"/>
      <c r="BK120" s="404"/>
      <c r="BL120" s="404"/>
      <c r="BM120" s="404"/>
      <c r="BN120" s="404"/>
      <c r="BO120" s="404"/>
      <c r="BP120" s="404"/>
      <c r="BQ120" s="404"/>
      <c r="BR120" s="404"/>
    </row>
    <row r="121" customFormat="false" ht="13.2" hidden="false" customHeight="false" outlineLevel="0" collapsed="false">
      <c r="F121" s="404"/>
      <c r="I121" s="404"/>
      <c r="J121" s="404"/>
      <c r="K121" s="404"/>
      <c r="N121" s="404"/>
      <c r="O121" s="404"/>
      <c r="P121" s="404"/>
      <c r="Q121" s="404"/>
      <c r="R121" s="404"/>
      <c r="S121" s="404"/>
      <c r="V121" s="404"/>
      <c r="W121" s="404"/>
      <c r="X121" s="404"/>
      <c r="Y121" s="404"/>
      <c r="Z121" s="404"/>
      <c r="AA121" s="404"/>
      <c r="AB121" s="404"/>
      <c r="AC121" s="404"/>
      <c r="AD121" s="404"/>
      <c r="AE121" s="404"/>
      <c r="AF121" s="404"/>
      <c r="AG121" s="404"/>
      <c r="AH121" s="404"/>
      <c r="AI121" s="404"/>
      <c r="AJ121" s="404"/>
      <c r="AK121" s="404"/>
      <c r="AL121" s="404"/>
      <c r="AM121" s="404"/>
      <c r="AN121" s="404"/>
      <c r="AO121" s="404"/>
      <c r="AP121" s="404"/>
      <c r="AQ121" s="404"/>
      <c r="AR121" s="404"/>
      <c r="AS121" s="404"/>
      <c r="AT121" s="404"/>
      <c r="AU121" s="404"/>
      <c r="AV121" s="404"/>
      <c r="AW121" s="404"/>
      <c r="AX121" s="404"/>
      <c r="AY121" s="404"/>
      <c r="AZ121" s="404"/>
      <c r="BA121" s="404"/>
      <c r="BB121" s="404"/>
      <c r="BC121" s="404"/>
      <c r="BD121" s="404"/>
      <c r="BE121" s="404"/>
      <c r="BF121" s="404"/>
      <c r="BG121" s="404"/>
      <c r="BH121" s="404"/>
      <c r="BI121" s="404"/>
      <c r="BJ121" s="404"/>
      <c r="BK121" s="404"/>
      <c r="BL121" s="404"/>
      <c r="BM121" s="404"/>
      <c r="BN121" s="404"/>
      <c r="BO121" s="404"/>
      <c r="BP121" s="404"/>
      <c r="BQ121" s="404"/>
      <c r="BR121" s="404"/>
    </row>
    <row r="122" customFormat="false" ht="13.2" hidden="false" customHeight="false" outlineLevel="0" collapsed="false">
      <c r="F122" s="404"/>
      <c r="I122" s="404"/>
      <c r="J122" s="404"/>
      <c r="K122" s="404"/>
      <c r="N122" s="404"/>
      <c r="O122" s="404"/>
      <c r="P122" s="404"/>
      <c r="Q122" s="404"/>
      <c r="R122" s="404"/>
      <c r="S122" s="404"/>
      <c r="V122" s="404"/>
      <c r="W122" s="404"/>
      <c r="X122" s="404"/>
      <c r="Y122" s="404"/>
      <c r="Z122" s="404"/>
      <c r="AA122" s="404"/>
      <c r="AB122" s="404"/>
      <c r="AC122" s="404"/>
      <c r="AD122" s="404"/>
      <c r="AE122" s="404"/>
      <c r="AF122" s="404"/>
      <c r="AG122" s="404"/>
      <c r="AH122" s="404"/>
      <c r="AI122" s="404"/>
      <c r="AJ122" s="404"/>
      <c r="AK122" s="404"/>
      <c r="AL122" s="404"/>
      <c r="AM122" s="404"/>
      <c r="AN122" s="404"/>
      <c r="AO122" s="404"/>
      <c r="AP122" s="404"/>
      <c r="AQ122" s="404"/>
      <c r="AR122" s="404"/>
      <c r="AS122" s="404"/>
      <c r="AT122" s="404"/>
      <c r="AU122" s="404"/>
      <c r="AV122" s="404"/>
      <c r="AW122" s="404"/>
      <c r="AX122" s="404"/>
      <c r="AY122" s="404"/>
      <c r="AZ122" s="404"/>
      <c r="BA122" s="404"/>
      <c r="BB122" s="404"/>
      <c r="BC122" s="404"/>
      <c r="BD122" s="404"/>
      <c r="BE122" s="404"/>
      <c r="BF122" s="404"/>
      <c r="BG122" s="404"/>
      <c r="BH122" s="404"/>
      <c r="BI122" s="404"/>
      <c r="BJ122" s="404"/>
      <c r="BK122" s="404"/>
      <c r="BL122" s="404"/>
      <c r="BM122" s="404"/>
      <c r="BN122" s="404"/>
      <c r="BO122" s="404"/>
      <c r="BP122" s="404"/>
      <c r="BQ122" s="404"/>
      <c r="BR122" s="404"/>
    </row>
    <row r="123" customFormat="false" ht="13.2" hidden="false" customHeight="false" outlineLevel="0" collapsed="false">
      <c r="F123" s="404"/>
      <c r="I123" s="404"/>
      <c r="J123" s="404"/>
      <c r="K123" s="404"/>
      <c r="N123" s="404"/>
      <c r="O123" s="404"/>
      <c r="P123" s="404"/>
      <c r="Q123" s="404"/>
      <c r="R123" s="404"/>
      <c r="S123" s="404"/>
      <c r="V123" s="404"/>
      <c r="W123" s="404"/>
      <c r="X123" s="404"/>
      <c r="Y123" s="404"/>
      <c r="Z123" s="404"/>
      <c r="AA123" s="404"/>
      <c r="AB123" s="404"/>
      <c r="AC123" s="404"/>
      <c r="AD123" s="404"/>
      <c r="AE123" s="404"/>
      <c r="AF123" s="404"/>
      <c r="AG123" s="404"/>
      <c r="AH123" s="404"/>
      <c r="AI123" s="404"/>
      <c r="AJ123" s="404"/>
      <c r="AK123" s="404"/>
      <c r="AL123" s="404"/>
      <c r="AM123" s="404"/>
      <c r="AN123" s="404"/>
      <c r="AO123" s="404"/>
      <c r="AP123" s="404"/>
      <c r="AQ123" s="404"/>
      <c r="AR123" s="404"/>
      <c r="AS123" s="404"/>
      <c r="AT123" s="404"/>
      <c r="AU123" s="404"/>
      <c r="AV123" s="404"/>
      <c r="AW123" s="404"/>
      <c r="AX123" s="404"/>
      <c r="AY123" s="404"/>
      <c r="AZ123" s="404"/>
      <c r="BA123" s="404"/>
      <c r="BB123" s="404"/>
      <c r="BC123" s="404"/>
      <c r="BD123" s="404"/>
      <c r="BE123" s="404"/>
      <c r="BF123" s="404"/>
      <c r="BG123" s="404"/>
      <c r="BH123" s="404"/>
      <c r="BI123" s="404"/>
      <c r="BJ123" s="404"/>
      <c r="BK123" s="404"/>
      <c r="BL123" s="404"/>
      <c r="BM123" s="404"/>
      <c r="BN123" s="404"/>
      <c r="BO123" s="404"/>
      <c r="BP123" s="404"/>
      <c r="BQ123" s="404"/>
      <c r="BR123" s="404"/>
    </row>
    <row r="124" customFormat="false" ht="13.2" hidden="false" customHeight="false" outlineLevel="0" collapsed="false">
      <c r="F124" s="404"/>
      <c r="I124" s="404"/>
      <c r="J124" s="404"/>
      <c r="K124" s="404"/>
      <c r="N124" s="404"/>
      <c r="O124" s="404"/>
      <c r="P124" s="404"/>
      <c r="Q124" s="404"/>
      <c r="R124" s="404"/>
      <c r="S124" s="404"/>
      <c r="V124" s="404"/>
      <c r="W124" s="404"/>
      <c r="X124" s="404"/>
      <c r="Y124" s="404"/>
      <c r="Z124" s="404"/>
      <c r="AA124" s="404"/>
      <c r="AB124" s="404"/>
      <c r="AC124" s="404"/>
      <c r="AD124" s="404"/>
      <c r="AE124" s="404"/>
      <c r="AF124" s="404"/>
      <c r="AG124" s="404"/>
      <c r="AH124" s="404"/>
      <c r="AI124" s="404"/>
      <c r="AJ124" s="404"/>
      <c r="AK124" s="404"/>
      <c r="AL124" s="404"/>
      <c r="AM124" s="404"/>
      <c r="AN124" s="404"/>
      <c r="AO124" s="404"/>
      <c r="AP124" s="404"/>
      <c r="AQ124" s="404"/>
      <c r="AR124" s="404"/>
      <c r="AS124" s="404"/>
      <c r="AT124" s="404"/>
      <c r="AU124" s="404"/>
      <c r="AV124" s="404"/>
      <c r="AW124" s="404"/>
      <c r="AX124" s="404"/>
      <c r="AY124" s="404"/>
      <c r="AZ124" s="404"/>
      <c r="BA124" s="404"/>
      <c r="BB124" s="404"/>
      <c r="BC124" s="404"/>
      <c r="BD124" s="404"/>
      <c r="BE124" s="404"/>
      <c r="BF124" s="404"/>
      <c r="BG124" s="404"/>
      <c r="BH124" s="404"/>
      <c r="BI124" s="404"/>
      <c r="BJ124" s="404"/>
      <c r="BK124" s="404"/>
      <c r="BL124" s="404"/>
      <c r="BM124" s="404"/>
      <c r="BN124" s="404"/>
      <c r="BO124" s="404"/>
      <c r="BP124" s="404"/>
      <c r="BQ124" s="404"/>
      <c r="BR124" s="404"/>
    </row>
    <row r="125" customFormat="false" ht="13.2" hidden="false" customHeight="false" outlineLevel="0" collapsed="false">
      <c r="F125" s="404"/>
      <c r="I125" s="404"/>
      <c r="J125" s="404"/>
      <c r="K125" s="404"/>
      <c r="N125" s="404"/>
      <c r="O125" s="404"/>
      <c r="P125" s="404"/>
      <c r="Q125" s="404"/>
      <c r="R125" s="404"/>
      <c r="S125" s="404"/>
      <c r="V125" s="404"/>
      <c r="W125" s="404"/>
      <c r="X125" s="404"/>
      <c r="Y125" s="404"/>
      <c r="Z125" s="404"/>
      <c r="AA125" s="404"/>
      <c r="AB125" s="404"/>
      <c r="AC125" s="404"/>
      <c r="AD125" s="404"/>
      <c r="AE125" s="404"/>
      <c r="AF125" s="404"/>
      <c r="AG125" s="404"/>
      <c r="AH125" s="404"/>
      <c r="AI125" s="404"/>
      <c r="AJ125" s="404"/>
      <c r="AK125" s="404"/>
      <c r="AL125" s="404"/>
      <c r="AM125" s="404"/>
      <c r="AN125" s="404"/>
      <c r="AO125" s="404"/>
      <c r="AP125" s="404"/>
      <c r="AQ125" s="404"/>
      <c r="AR125" s="404"/>
      <c r="AS125" s="404"/>
      <c r="AT125" s="404"/>
      <c r="AU125" s="404"/>
      <c r="AV125" s="404"/>
      <c r="AW125" s="404"/>
      <c r="AX125" s="404"/>
      <c r="AY125" s="404"/>
      <c r="AZ125" s="404"/>
      <c r="BA125" s="404"/>
      <c r="BB125" s="404"/>
      <c r="BC125" s="404"/>
      <c r="BD125" s="404"/>
      <c r="BE125" s="404"/>
      <c r="BF125" s="404"/>
      <c r="BG125" s="404"/>
      <c r="BH125" s="404"/>
      <c r="BI125" s="404"/>
      <c r="BJ125" s="404"/>
      <c r="BK125" s="404"/>
      <c r="BL125" s="404"/>
      <c r="BM125" s="404"/>
      <c r="BN125" s="404"/>
      <c r="BO125" s="404"/>
      <c r="BP125" s="404"/>
      <c r="BQ125" s="404"/>
      <c r="BR125" s="404"/>
    </row>
    <row r="126" customFormat="false" ht="13.2" hidden="false" customHeight="false" outlineLevel="0" collapsed="false">
      <c r="F126" s="404"/>
      <c r="I126" s="404"/>
      <c r="J126" s="404"/>
      <c r="K126" s="404"/>
      <c r="N126" s="404"/>
      <c r="O126" s="404"/>
      <c r="P126" s="404"/>
      <c r="Q126" s="404"/>
      <c r="R126" s="404"/>
      <c r="S126" s="404"/>
      <c r="V126" s="404"/>
      <c r="W126" s="404"/>
      <c r="X126" s="404"/>
      <c r="Y126" s="404"/>
      <c r="Z126" s="404"/>
      <c r="AA126" s="404"/>
      <c r="AB126" s="404"/>
      <c r="AC126" s="404"/>
      <c r="AD126" s="404"/>
      <c r="AE126" s="404"/>
      <c r="AF126" s="404"/>
      <c r="AG126" s="404"/>
      <c r="AH126" s="404"/>
      <c r="AI126" s="404"/>
      <c r="AJ126" s="404"/>
      <c r="AK126" s="404"/>
      <c r="AL126" s="404"/>
      <c r="AM126" s="404"/>
      <c r="AN126" s="404"/>
      <c r="AO126" s="404"/>
      <c r="AP126" s="404"/>
      <c r="AQ126" s="404"/>
      <c r="AR126" s="404"/>
      <c r="AS126" s="404"/>
      <c r="AT126" s="404"/>
      <c r="AU126" s="404"/>
      <c r="AV126" s="404"/>
      <c r="AW126" s="404"/>
      <c r="AX126" s="404"/>
      <c r="AY126" s="404"/>
      <c r="AZ126" s="404"/>
      <c r="BA126" s="404"/>
      <c r="BB126" s="404"/>
      <c r="BC126" s="404"/>
      <c r="BD126" s="404"/>
      <c r="BE126" s="404"/>
      <c r="BF126" s="404"/>
      <c r="BG126" s="404"/>
      <c r="BH126" s="404"/>
      <c r="BI126" s="404"/>
      <c r="BJ126" s="404"/>
      <c r="BK126" s="404"/>
      <c r="BL126" s="404"/>
      <c r="BM126" s="404"/>
      <c r="BN126" s="404"/>
      <c r="BO126" s="404"/>
      <c r="BP126" s="404"/>
      <c r="BQ126" s="404"/>
      <c r="BR126" s="404"/>
    </row>
    <row r="127" customFormat="false" ht="13.2" hidden="false" customHeight="false" outlineLevel="0" collapsed="false">
      <c r="F127" s="404"/>
      <c r="I127" s="404"/>
      <c r="J127" s="404"/>
      <c r="K127" s="404"/>
      <c r="N127" s="404"/>
      <c r="O127" s="404"/>
      <c r="P127" s="404"/>
      <c r="Q127" s="404"/>
      <c r="R127" s="404"/>
      <c r="S127" s="404"/>
      <c r="V127" s="404"/>
      <c r="W127" s="404"/>
      <c r="X127" s="404"/>
      <c r="Y127" s="404"/>
      <c r="Z127" s="404"/>
      <c r="AA127" s="404"/>
      <c r="AB127" s="404"/>
      <c r="AC127" s="404"/>
      <c r="AD127" s="404"/>
      <c r="AE127" s="404"/>
      <c r="AF127" s="404"/>
      <c r="AG127" s="404"/>
      <c r="AH127" s="404"/>
      <c r="AI127" s="404"/>
      <c r="AJ127" s="404"/>
      <c r="AK127" s="404"/>
      <c r="AL127" s="404"/>
      <c r="AM127" s="404"/>
      <c r="AN127" s="404"/>
      <c r="AO127" s="404"/>
      <c r="AP127" s="404"/>
      <c r="AQ127" s="404"/>
      <c r="AR127" s="404"/>
      <c r="AS127" s="404"/>
      <c r="AT127" s="404"/>
      <c r="AU127" s="404"/>
      <c r="AV127" s="404"/>
      <c r="AW127" s="404"/>
      <c r="AX127" s="404"/>
      <c r="AY127" s="404"/>
      <c r="AZ127" s="404"/>
      <c r="BA127" s="404"/>
      <c r="BB127" s="404"/>
      <c r="BC127" s="404"/>
      <c r="BD127" s="404"/>
      <c r="BE127" s="404"/>
      <c r="BF127" s="404"/>
      <c r="BG127" s="404"/>
      <c r="BH127" s="404"/>
      <c r="BI127" s="404"/>
      <c r="BJ127" s="404"/>
      <c r="BK127" s="404"/>
      <c r="BL127" s="404"/>
      <c r="BM127" s="404"/>
      <c r="BN127" s="404"/>
      <c r="BO127" s="404"/>
      <c r="BP127" s="404"/>
      <c r="BQ127" s="404"/>
      <c r="BR127" s="404"/>
    </row>
    <row r="128" customFormat="false" ht="13.2" hidden="false" customHeight="false" outlineLevel="0" collapsed="false">
      <c r="F128" s="404"/>
      <c r="I128" s="404"/>
      <c r="J128" s="404"/>
      <c r="K128" s="404"/>
      <c r="N128" s="404"/>
      <c r="O128" s="404"/>
      <c r="P128" s="404"/>
      <c r="Q128" s="404"/>
      <c r="R128" s="404"/>
      <c r="S128" s="404"/>
      <c r="V128" s="404"/>
      <c r="W128" s="404"/>
      <c r="X128" s="404"/>
      <c r="Y128" s="404"/>
      <c r="Z128" s="404"/>
      <c r="AA128" s="404"/>
      <c r="AB128" s="404"/>
      <c r="AC128" s="404"/>
      <c r="AD128" s="404"/>
      <c r="AE128" s="404"/>
      <c r="AF128" s="404"/>
      <c r="AG128" s="404"/>
      <c r="AH128" s="404"/>
      <c r="AI128" s="404"/>
      <c r="AJ128" s="404"/>
      <c r="AK128" s="404"/>
      <c r="AL128" s="404"/>
      <c r="AM128" s="404"/>
      <c r="AN128" s="404"/>
      <c r="AO128" s="404"/>
      <c r="AP128" s="404"/>
      <c r="AQ128" s="404"/>
      <c r="AR128" s="404"/>
      <c r="AS128" s="404"/>
      <c r="AT128" s="404"/>
      <c r="AU128" s="404"/>
      <c r="AV128" s="404"/>
      <c r="AW128" s="404"/>
      <c r="AX128" s="404"/>
      <c r="AY128" s="404"/>
      <c r="AZ128" s="404"/>
      <c r="BA128" s="404"/>
      <c r="BB128" s="404"/>
      <c r="BC128" s="404"/>
      <c r="BD128" s="404"/>
      <c r="BE128" s="404"/>
      <c r="BF128" s="404"/>
      <c r="BG128" s="404"/>
      <c r="BH128" s="404"/>
      <c r="BI128" s="404"/>
      <c r="BJ128" s="404"/>
      <c r="BK128" s="404"/>
      <c r="BL128" s="404"/>
      <c r="BM128" s="404"/>
      <c r="BN128" s="404"/>
      <c r="BO128" s="404"/>
      <c r="BP128" s="404"/>
      <c r="BQ128" s="404"/>
      <c r="BR128" s="404"/>
    </row>
    <row r="129" customFormat="false" ht="13.2" hidden="false" customHeight="false" outlineLevel="0" collapsed="false">
      <c r="F129" s="404"/>
      <c r="I129" s="404"/>
      <c r="J129" s="404"/>
      <c r="K129" s="404"/>
      <c r="N129" s="404"/>
      <c r="O129" s="404"/>
      <c r="P129" s="404"/>
      <c r="Q129" s="404"/>
      <c r="R129" s="404"/>
      <c r="S129" s="404"/>
      <c r="V129" s="404"/>
      <c r="W129" s="404"/>
      <c r="X129" s="404"/>
      <c r="Y129" s="404"/>
      <c r="Z129" s="404"/>
      <c r="AA129" s="404"/>
      <c r="AB129" s="404"/>
      <c r="AC129" s="404"/>
      <c r="AD129" s="404"/>
      <c r="AE129" s="404"/>
      <c r="AF129" s="404"/>
      <c r="AG129" s="404"/>
      <c r="AH129" s="404"/>
      <c r="AI129" s="404"/>
      <c r="AJ129" s="404"/>
      <c r="AK129" s="404"/>
      <c r="AL129" s="404"/>
      <c r="AM129" s="404"/>
      <c r="AN129" s="404"/>
      <c r="AO129" s="404"/>
      <c r="AP129" s="404"/>
      <c r="AQ129" s="404"/>
      <c r="AR129" s="404"/>
      <c r="AS129" s="404"/>
      <c r="AT129" s="404"/>
      <c r="AU129" s="404"/>
      <c r="AV129" s="404"/>
      <c r="AW129" s="404"/>
      <c r="AX129" s="404"/>
      <c r="AY129" s="404"/>
      <c r="AZ129" s="404"/>
      <c r="BA129" s="404"/>
      <c r="BB129" s="404"/>
      <c r="BC129" s="404"/>
      <c r="BD129" s="404"/>
      <c r="BE129" s="404"/>
      <c r="BF129" s="404"/>
      <c r="BG129" s="404"/>
      <c r="BH129" s="404"/>
      <c r="BI129" s="404"/>
      <c r="BJ129" s="404"/>
      <c r="BK129" s="404"/>
      <c r="BL129" s="404"/>
      <c r="BM129" s="404"/>
      <c r="BN129" s="404"/>
      <c r="BO129" s="404"/>
      <c r="BP129" s="404"/>
      <c r="BQ129" s="404"/>
      <c r="BR129" s="404"/>
    </row>
    <row r="130" customFormat="false" ht="13.2" hidden="false" customHeight="false" outlineLevel="0" collapsed="false">
      <c r="F130" s="404"/>
      <c r="I130" s="404"/>
      <c r="J130" s="404"/>
      <c r="K130" s="404"/>
      <c r="N130" s="404"/>
      <c r="O130" s="404"/>
      <c r="P130" s="404"/>
      <c r="Q130" s="404"/>
      <c r="R130" s="404"/>
      <c r="S130" s="404"/>
      <c r="V130" s="404"/>
      <c r="W130" s="404"/>
      <c r="X130" s="404"/>
      <c r="Y130" s="404"/>
      <c r="Z130" s="404"/>
      <c r="AA130" s="404"/>
      <c r="AB130" s="404"/>
      <c r="AC130" s="404"/>
      <c r="AD130" s="404"/>
      <c r="AE130" s="404"/>
      <c r="AF130" s="404"/>
      <c r="AG130" s="404"/>
      <c r="AH130" s="404"/>
      <c r="AI130" s="404"/>
      <c r="AJ130" s="404"/>
      <c r="AK130" s="404"/>
      <c r="AL130" s="404"/>
      <c r="AM130" s="404"/>
      <c r="AN130" s="404"/>
      <c r="AO130" s="404"/>
      <c r="AP130" s="404"/>
      <c r="AQ130" s="404"/>
      <c r="AR130" s="404"/>
      <c r="AS130" s="404"/>
      <c r="AT130" s="404"/>
      <c r="AU130" s="404"/>
      <c r="AV130" s="404"/>
      <c r="AW130" s="404"/>
      <c r="AX130" s="404"/>
      <c r="AY130" s="404"/>
      <c r="AZ130" s="404"/>
      <c r="BA130" s="404"/>
      <c r="BB130" s="404"/>
      <c r="BC130" s="404"/>
      <c r="BD130" s="404"/>
      <c r="BE130" s="404"/>
      <c r="BF130" s="404"/>
      <c r="BG130" s="404"/>
      <c r="BH130" s="404"/>
      <c r="BI130" s="404"/>
      <c r="BJ130" s="404"/>
      <c r="BK130" s="404"/>
      <c r="BL130" s="404"/>
      <c r="BM130" s="404"/>
      <c r="BN130" s="404"/>
      <c r="BO130" s="404"/>
      <c r="BP130" s="404"/>
      <c r="BQ130" s="404"/>
      <c r="BR130" s="404"/>
    </row>
    <row r="131" customFormat="false" ht="13.2" hidden="false" customHeight="false" outlineLevel="0" collapsed="false">
      <c r="F131" s="404"/>
      <c r="I131" s="404"/>
      <c r="J131" s="404"/>
      <c r="K131" s="404"/>
      <c r="N131" s="404"/>
      <c r="O131" s="404"/>
      <c r="P131" s="404"/>
      <c r="Q131" s="404"/>
      <c r="R131" s="404"/>
      <c r="S131" s="404"/>
      <c r="V131" s="404"/>
      <c r="W131" s="404"/>
      <c r="X131" s="404"/>
      <c r="Y131" s="404"/>
      <c r="Z131" s="404"/>
      <c r="AA131" s="404"/>
      <c r="AB131" s="404"/>
      <c r="AC131" s="404"/>
      <c r="AD131" s="404"/>
      <c r="AE131" s="404"/>
      <c r="AF131" s="404"/>
      <c r="AG131" s="404"/>
      <c r="AH131" s="404"/>
      <c r="AI131" s="404"/>
      <c r="AJ131" s="404"/>
      <c r="AK131" s="404"/>
      <c r="AL131" s="404"/>
      <c r="AM131" s="404"/>
      <c r="AN131" s="404"/>
      <c r="AO131" s="404"/>
      <c r="AP131" s="404"/>
      <c r="AQ131" s="404"/>
      <c r="AR131" s="404"/>
      <c r="AS131" s="404"/>
      <c r="AT131" s="404"/>
      <c r="AU131" s="404"/>
      <c r="AV131" s="404"/>
      <c r="AW131" s="404"/>
      <c r="AX131" s="404"/>
      <c r="AY131" s="404"/>
      <c r="AZ131" s="404"/>
      <c r="BA131" s="404"/>
      <c r="BB131" s="404"/>
      <c r="BC131" s="404"/>
      <c r="BD131" s="404"/>
      <c r="BE131" s="404"/>
      <c r="BF131" s="404"/>
      <c r="BG131" s="404"/>
      <c r="BH131" s="404"/>
      <c r="BI131" s="404"/>
      <c r="BJ131" s="404"/>
      <c r="BK131" s="404"/>
      <c r="BL131" s="404"/>
      <c r="BM131" s="404"/>
      <c r="BN131" s="404"/>
      <c r="BO131" s="404"/>
      <c r="BP131" s="404"/>
      <c r="BQ131" s="404"/>
      <c r="BR131" s="404"/>
    </row>
    <row r="132" customFormat="false" ht="13.2" hidden="false" customHeight="false" outlineLevel="0" collapsed="false">
      <c r="F132" s="404"/>
      <c r="I132" s="404"/>
      <c r="J132" s="404"/>
      <c r="K132" s="404"/>
      <c r="N132" s="404"/>
      <c r="O132" s="404"/>
      <c r="P132" s="404"/>
      <c r="Q132" s="404"/>
      <c r="R132" s="404"/>
      <c r="S132" s="404"/>
      <c r="V132" s="404"/>
      <c r="W132" s="404"/>
      <c r="X132" s="404"/>
      <c r="Y132" s="404"/>
      <c r="Z132" s="404"/>
      <c r="AA132" s="404"/>
      <c r="AB132" s="404"/>
      <c r="AC132" s="404"/>
      <c r="AD132" s="404"/>
      <c r="AE132" s="404"/>
      <c r="AF132" s="404"/>
      <c r="AG132" s="404"/>
      <c r="AH132" s="404"/>
      <c r="AI132" s="404"/>
      <c r="AJ132" s="404"/>
      <c r="AK132" s="404"/>
      <c r="AL132" s="404"/>
      <c r="AM132" s="404"/>
      <c r="AN132" s="404"/>
      <c r="AO132" s="404"/>
      <c r="AP132" s="404"/>
      <c r="AQ132" s="404"/>
      <c r="AR132" s="404"/>
      <c r="AS132" s="404"/>
      <c r="AT132" s="404"/>
      <c r="AU132" s="404"/>
      <c r="AV132" s="404"/>
      <c r="AW132" s="404"/>
      <c r="AX132" s="404"/>
      <c r="AY132" s="404"/>
      <c r="AZ132" s="404"/>
      <c r="BA132" s="404"/>
      <c r="BB132" s="404"/>
      <c r="BC132" s="404"/>
      <c r="BD132" s="404"/>
      <c r="BE132" s="404"/>
      <c r="BF132" s="404"/>
      <c r="BG132" s="404"/>
      <c r="BH132" s="404"/>
      <c r="BI132" s="404"/>
      <c r="BJ132" s="404"/>
      <c r="BK132" s="404"/>
      <c r="BL132" s="404"/>
      <c r="BM132" s="404"/>
      <c r="BN132" s="404"/>
      <c r="BO132" s="404"/>
      <c r="BP132" s="404"/>
      <c r="BQ132" s="404"/>
      <c r="BR132" s="404"/>
    </row>
    <row r="133" customFormat="false" ht="13.2" hidden="false" customHeight="false" outlineLevel="0" collapsed="false">
      <c r="F133" s="404"/>
      <c r="I133" s="404"/>
      <c r="J133" s="404"/>
      <c r="K133" s="404"/>
      <c r="N133" s="404"/>
      <c r="O133" s="404"/>
      <c r="P133" s="404"/>
      <c r="Q133" s="404"/>
      <c r="R133" s="404"/>
      <c r="S133" s="404"/>
      <c r="V133" s="404"/>
      <c r="W133" s="404"/>
      <c r="X133" s="404"/>
      <c r="Y133" s="404"/>
      <c r="Z133" s="404"/>
      <c r="AA133" s="404"/>
      <c r="AB133" s="404"/>
      <c r="AC133" s="404"/>
      <c r="AD133" s="404"/>
      <c r="AE133" s="404"/>
      <c r="AF133" s="404"/>
      <c r="AG133" s="404"/>
      <c r="AH133" s="404"/>
      <c r="AI133" s="404"/>
      <c r="AJ133" s="404"/>
      <c r="AK133" s="404"/>
      <c r="AL133" s="404"/>
      <c r="AM133" s="404"/>
      <c r="AN133" s="404"/>
      <c r="AO133" s="404"/>
      <c r="AP133" s="404"/>
      <c r="AQ133" s="404"/>
      <c r="AR133" s="404"/>
      <c r="AS133" s="404"/>
      <c r="AT133" s="404"/>
      <c r="AU133" s="404"/>
      <c r="AV133" s="404"/>
      <c r="AW133" s="404"/>
      <c r="AX133" s="404"/>
      <c r="AY133" s="404"/>
      <c r="AZ133" s="404"/>
      <c r="BA133" s="404"/>
      <c r="BB133" s="404"/>
      <c r="BC133" s="404"/>
      <c r="BD133" s="404"/>
      <c r="BE133" s="404"/>
      <c r="BF133" s="404"/>
      <c r="BG133" s="404"/>
      <c r="BH133" s="404"/>
      <c r="BI133" s="404"/>
      <c r="BJ133" s="404"/>
      <c r="BK133" s="404"/>
      <c r="BL133" s="404"/>
      <c r="BM133" s="404"/>
      <c r="BN133" s="404"/>
      <c r="BO133" s="404"/>
      <c r="BP133" s="404"/>
      <c r="BQ133" s="404"/>
      <c r="BR133" s="404"/>
    </row>
    <row r="134" customFormat="false" ht="13.2" hidden="false" customHeight="false" outlineLevel="0" collapsed="false">
      <c r="F134" s="404"/>
      <c r="I134" s="404"/>
      <c r="J134" s="404"/>
      <c r="K134" s="404"/>
      <c r="N134" s="404"/>
      <c r="O134" s="404"/>
      <c r="P134" s="404"/>
      <c r="Q134" s="404"/>
      <c r="R134" s="404"/>
      <c r="S134" s="404"/>
      <c r="V134" s="404"/>
      <c r="W134" s="404"/>
      <c r="X134" s="404"/>
      <c r="Y134" s="404"/>
      <c r="Z134" s="404"/>
      <c r="AA134" s="404"/>
      <c r="AB134" s="404"/>
      <c r="AC134" s="404"/>
      <c r="AD134" s="404"/>
      <c r="AE134" s="404"/>
      <c r="AF134" s="404"/>
      <c r="AG134" s="404"/>
      <c r="AH134" s="404"/>
      <c r="AI134" s="404"/>
      <c r="AJ134" s="404"/>
      <c r="AK134" s="404"/>
      <c r="AL134" s="404"/>
      <c r="AM134" s="404"/>
      <c r="AN134" s="404"/>
      <c r="AO134" s="404"/>
      <c r="AP134" s="404"/>
      <c r="AQ134" s="404"/>
      <c r="AR134" s="404"/>
      <c r="AS134" s="404"/>
      <c r="AT134" s="404"/>
      <c r="AU134" s="404"/>
      <c r="AV134" s="404"/>
      <c r="AW134" s="404"/>
      <c r="AX134" s="404"/>
      <c r="AY134" s="404"/>
      <c r="AZ134" s="404"/>
      <c r="BA134" s="404"/>
      <c r="BB134" s="404"/>
      <c r="BC134" s="404"/>
      <c r="BD134" s="404"/>
      <c r="BE134" s="404"/>
      <c r="BF134" s="404"/>
      <c r="BG134" s="404"/>
      <c r="BH134" s="404"/>
      <c r="BI134" s="404"/>
      <c r="BJ134" s="404"/>
      <c r="BK134" s="404"/>
      <c r="BL134" s="404"/>
      <c r="BM134" s="404"/>
      <c r="BN134" s="404"/>
      <c r="BO134" s="404"/>
      <c r="BP134" s="404"/>
      <c r="BQ134" s="404"/>
      <c r="BR134" s="404"/>
    </row>
    <row r="135" customFormat="false" ht="13.2" hidden="false" customHeight="false" outlineLevel="0" collapsed="false">
      <c r="F135" s="404"/>
      <c r="I135" s="404"/>
      <c r="J135" s="404"/>
      <c r="K135" s="404"/>
      <c r="N135" s="404"/>
      <c r="O135" s="404"/>
      <c r="P135" s="404"/>
      <c r="Q135" s="404"/>
      <c r="R135" s="404"/>
      <c r="S135" s="404"/>
      <c r="V135" s="404"/>
      <c r="W135" s="404"/>
      <c r="X135" s="404"/>
      <c r="Y135" s="404"/>
      <c r="Z135" s="404"/>
      <c r="AA135" s="404"/>
      <c r="AB135" s="404"/>
      <c r="AC135" s="404"/>
      <c r="AD135" s="404"/>
      <c r="AE135" s="404"/>
      <c r="AF135" s="404"/>
      <c r="AG135" s="404"/>
      <c r="AH135" s="404"/>
      <c r="AI135" s="404"/>
      <c r="AJ135" s="404"/>
      <c r="AK135" s="404"/>
      <c r="AL135" s="404"/>
      <c r="AM135" s="404"/>
      <c r="AN135" s="404"/>
      <c r="AO135" s="404"/>
      <c r="AP135" s="404"/>
      <c r="AQ135" s="404"/>
      <c r="AR135" s="404"/>
      <c r="AS135" s="404"/>
      <c r="AT135" s="404"/>
      <c r="AU135" s="404"/>
      <c r="AV135" s="404"/>
      <c r="AW135" s="404"/>
      <c r="AX135" s="404"/>
      <c r="AY135" s="404"/>
      <c r="AZ135" s="404"/>
      <c r="BA135" s="404"/>
      <c r="BB135" s="404"/>
      <c r="BC135" s="404"/>
      <c r="BD135" s="404"/>
      <c r="BE135" s="404"/>
      <c r="BF135" s="404"/>
      <c r="BG135" s="404"/>
      <c r="BH135" s="404"/>
      <c r="BI135" s="404"/>
      <c r="BJ135" s="404"/>
      <c r="BK135" s="404"/>
      <c r="BL135" s="404"/>
      <c r="BM135" s="404"/>
      <c r="BN135" s="404"/>
      <c r="BO135" s="404"/>
      <c r="BP135" s="404"/>
      <c r="BQ135" s="404"/>
      <c r="BR135" s="404"/>
    </row>
    <row r="136" customFormat="false" ht="13.2" hidden="false" customHeight="false" outlineLevel="0" collapsed="false">
      <c r="F136" s="404"/>
      <c r="I136" s="404"/>
      <c r="J136" s="404"/>
      <c r="K136" s="404"/>
      <c r="N136" s="404"/>
      <c r="O136" s="404"/>
      <c r="P136" s="404"/>
      <c r="Q136" s="404"/>
      <c r="R136" s="404"/>
      <c r="S136" s="404"/>
      <c r="V136" s="404"/>
      <c r="W136" s="404"/>
      <c r="X136" s="404"/>
      <c r="Y136" s="404"/>
      <c r="Z136" s="404"/>
      <c r="AA136" s="404"/>
      <c r="AB136" s="404"/>
      <c r="AC136" s="404"/>
      <c r="AD136" s="404"/>
      <c r="AE136" s="404"/>
      <c r="AF136" s="404"/>
      <c r="AG136" s="404"/>
      <c r="AH136" s="404"/>
      <c r="AI136" s="404"/>
      <c r="AJ136" s="404"/>
      <c r="AK136" s="404"/>
      <c r="AL136" s="404"/>
      <c r="AM136" s="404"/>
      <c r="AN136" s="404"/>
      <c r="AO136" s="404"/>
      <c r="AP136" s="404"/>
      <c r="AQ136" s="404"/>
      <c r="AR136" s="404"/>
      <c r="AS136" s="404"/>
      <c r="AT136" s="404"/>
      <c r="AU136" s="404"/>
      <c r="AV136" s="404"/>
      <c r="AW136" s="404"/>
      <c r="AX136" s="404"/>
      <c r="AY136" s="404"/>
      <c r="AZ136" s="404"/>
      <c r="BA136" s="404"/>
      <c r="BB136" s="404"/>
      <c r="BC136" s="404"/>
      <c r="BD136" s="404"/>
      <c r="BE136" s="404"/>
      <c r="BF136" s="404"/>
      <c r="BG136" s="404"/>
      <c r="BH136" s="404"/>
      <c r="BI136" s="404"/>
      <c r="BJ136" s="404"/>
      <c r="BK136" s="404"/>
      <c r="BL136" s="404"/>
      <c r="BM136" s="404"/>
      <c r="BN136" s="404"/>
      <c r="BO136" s="404"/>
      <c r="BP136" s="404"/>
      <c r="BQ136" s="404"/>
      <c r="BR136" s="404"/>
    </row>
    <row r="137" customFormat="false" ht="13.2" hidden="false" customHeight="false" outlineLevel="0" collapsed="false">
      <c r="F137" s="404"/>
      <c r="I137" s="404"/>
      <c r="J137" s="404"/>
      <c r="K137" s="404"/>
      <c r="N137" s="404"/>
      <c r="O137" s="404"/>
      <c r="P137" s="404"/>
      <c r="Q137" s="404"/>
      <c r="R137" s="404"/>
      <c r="S137" s="404"/>
      <c r="V137" s="404"/>
      <c r="W137" s="404"/>
      <c r="X137" s="404"/>
      <c r="Y137" s="404"/>
      <c r="Z137" s="404"/>
      <c r="AA137" s="404"/>
      <c r="AB137" s="404"/>
      <c r="AC137" s="404"/>
      <c r="AD137" s="404"/>
      <c r="AE137" s="404"/>
      <c r="AF137" s="404"/>
      <c r="AG137" s="404"/>
      <c r="AH137" s="404"/>
      <c r="AI137" s="404"/>
      <c r="AJ137" s="404"/>
      <c r="AK137" s="404"/>
      <c r="AL137" s="404"/>
      <c r="AM137" s="404"/>
      <c r="AN137" s="404"/>
      <c r="AO137" s="404"/>
      <c r="AP137" s="404"/>
      <c r="AQ137" s="404"/>
      <c r="AR137" s="404"/>
      <c r="AS137" s="404"/>
      <c r="AT137" s="404"/>
      <c r="AU137" s="404"/>
      <c r="AV137" s="404"/>
      <c r="AW137" s="404"/>
      <c r="AX137" s="404"/>
      <c r="AY137" s="404"/>
      <c r="AZ137" s="404"/>
      <c r="BA137" s="404"/>
      <c r="BB137" s="404"/>
      <c r="BC137" s="404"/>
      <c r="BD137" s="404"/>
      <c r="BE137" s="404"/>
      <c r="BF137" s="404"/>
      <c r="BG137" s="404"/>
      <c r="BH137" s="404"/>
      <c r="BI137" s="404"/>
      <c r="BJ137" s="404"/>
      <c r="BK137" s="404"/>
      <c r="BL137" s="404"/>
      <c r="BM137" s="404"/>
      <c r="BN137" s="404"/>
      <c r="BO137" s="404"/>
      <c r="BP137" s="404"/>
      <c r="BQ137" s="404"/>
      <c r="BR137" s="404"/>
    </row>
    <row r="138" customFormat="false" ht="13.2" hidden="false" customHeight="false" outlineLevel="0" collapsed="false">
      <c r="F138" s="404"/>
      <c r="I138" s="404"/>
      <c r="J138" s="404"/>
      <c r="K138" s="404"/>
      <c r="N138" s="404"/>
      <c r="O138" s="404"/>
      <c r="P138" s="404"/>
      <c r="Q138" s="404"/>
      <c r="R138" s="404"/>
      <c r="S138" s="404"/>
      <c r="V138" s="404"/>
      <c r="W138" s="404"/>
      <c r="X138" s="404"/>
      <c r="Y138" s="404"/>
      <c r="Z138" s="404"/>
      <c r="AA138" s="404"/>
      <c r="AB138" s="404"/>
      <c r="AC138" s="404"/>
      <c r="AD138" s="404"/>
      <c r="AE138" s="404"/>
      <c r="AF138" s="404"/>
      <c r="AG138" s="404"/>
      <c r="AH138" s="404"/>
      <c r="AI138" s="404"/>
      <c r="AJ138" s="404"/>
      <c r="AK138" s="404"/>
      <c r="AL138" s="404"/>
      <c r="AM138" s="404"/>
      <c r="AN138" s="404"/>
      <c r="AO138" s="404"/>
      <c r="AP138" s="404"/>
      <c r="AQ138" s="404"/>
      <c r="AR138" s="404"/>
      <c r="AS138" s="404"/>
      <c r="AT138" s="404"/>
      <c r="AU138" s="404"/>
      <c r="AV138" s="404"/>
      <c r="AW138" s="404"/>
      <c r="AX138" s="404"/>
      <c r="AY138" s="404"/>
      <c r="AZ138" s="404"/>
      <c r="BA138" s="404"/>
      <c r="BB138" s="404"/>
      <c r="BC138" s="404"/>
      <c r="BD138" s="404"/>
      <c r="BE138" s="404"/>
      <c r="BF138" s="404"/>
      <c r="BG138" s="404"/>
      <c r="BH138" s="404"/>
      <c r="BI138" s="404"/>
      <c r="BJ138" s="404"/>
      <c r="BK138" s="404"/>
      <c r="BL138" s="404"/>
      <c r="BM138" s="404"/>
      <c r="BN138" s="404"/>
      <c r="BO138" s="404"/>
      <c r="BP138" s="404"/>
      <c r="BQ138" s="404"/>
      <c r="BR138" s="404"/>
    </row>
    <row r="139" customFormat="false" ht="13.2" hidden="false" customHeight="false" outlineLevel="0" collapsed="false">
      <c r="F139" s="404"/>
      <c r="I139" s="404"/>
      <c r="J139" s="404"/>
      <c r="K139" s="404"/>
      <c r="N139" s="404"/>
      <c r="O139" s="404"/>
      <c r="P139" s="404"/>
      <c r="Q139" s="404"/>
      <c r="R139" s="404"/>
      <c r="S139" s="404"/>
      <c r="V139" s="404"/>
      <c r="W139" s="404"/>
      <c r="X139" s="404"/>
      <c r="Y139" s="404"/>
      <c r="Z139" s="404"/>
      <c r="AA139" s="404"/>
      <c r="AB139" s="404"/>
      <c r="AC139" s="404"/>
      <c r="AD139" s="404"/>
      <c r="AE139" s="404"/>
      <c r="AF139" s="404"/>
      <c r="AG139" s="404"/>
      <c r="AH139" s="404"/>
      <c r="AI139" s="404"/>
      <c r="AJ139" s="404"/>
      <c r="AK139" s="404"/>
      <c r="AL139" s="404"/>
      <c r="AM139" s="404"/>
      <c r="AN139" s="404"/>
      <c r="AO139" s="404"/>
      <c r="AP139" s="404"/>
      <c r="AQ139" s="404"/>
      <c r="AR139" s="404"/>
      <c r="AS139" s="404"/>
      <c r="AT139" s="404"/>
      <c r="AU139" s="404"/>
      <c r="AV139" s="404"/>
      <c r="AW139" s="404"/>
      <c r="AX139" s="404"/>
      <c r="AY139" s="404"/>
      <c r="AZ139" s="404"/>
      <c r="BA139" s="404"/>
      <c r="BB139" s="404"/>
      <c r="BC139" s="404"/>
      <c r="BD139" s="404"/>
      <c r="BE139" s="404"/>
      <c r="BF139" s="404"/>
      <c r="BG139" s="404"/>
      <c r="BH139" s="404"/>
      <c r="BI139" s="404"/>
      <c r="BJ139" s="404"/>
      <c r="BK139" s="404"/>
      <c r="BL139" s="404"/>
      <c r="BM139" s="404"/>
      <c r="BN139" s="404"/>
      <c r="BO139" s="404"/>
      <c r="BP139" s="404"/>
      <c r="BQ139" s="404"/>
      <c r="BR139" s="404"/>
    </row>
  </sheetData>
  <mergeCells count="1">
    <mergeCell ref="A49:C49"/>
  </mergeCells>
  <printOptions headings="false" gridLines="true" gridLinesSet="true" horizontalCentered="false" verticalCentered="false"/>
  <pageMargins left="0.120138888888889" right="0.25" top="0.65" bottom="0.409722222222222" header="0.2" footer="0.179861111111111"/>
  <pageSetup paperSize="1" scale="100" fitToWidth="1" fitToHeight="3" pageOrder="overThenDown" orientation="portrait" blackAndWhite="false" draft="false" cellComments="none" horizontalDpi="300" verticalDpi="300" copies="1"/>
  <headerFooter differentFirst="false" differentOddEven="false">
    <oddHeader>&amp;L&amp;"Arial,Bold"&amp;12Doyle Power, LCC - Principal Insured&amp;RThru: &amp;D
Page &amp;P</oddHeader>
    <oddFooter>&amp;L&amp;F&amp;R&amp;A</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16"/>
  <sheetViews>
    <sheetView showFormulas="false" showGridLines="true" showRowColHeaders="true" showZeros="true" rightToLeft="false" tabSelected="false" showOutlineSymbols="true" defaultGridColor="true" view="pageBreakPreview" topLeftCell="A1" colorId="64" zoomScale="75" zoomScaleNormal="75" zoomScalePageLayoutView="75" workbookViewId="0">
      <selection pane="topLeft" activeCell="A1" activeCellId="0" sqref="A1"/>
    </sheetView>
  </sheetViews>
  <sheetFormatPr defaultColWidth="10.328125" defaultRowHeight="13.2" customHeight="true" zeroHeight="false" outlineLevelRow="0" outlineLevelCol="0"/>
  <cols>
    <col collapsed="false" customWidth="true" hidden="false" outlineLevel="0" max="1" min="1" style="37" width="4.21"/>
    <col collapsed="false" customWidth="true" hidden="false" outlineLevel="0" max="2" min="2" style="37" width="3.66"/>
    <col collapsed="false" customWidth="true" hidden="false" outlineLevel="0" max="3" min="3" style="37" width="5.99"/>
    <col collapsed="false" customWidth="true" hidden="false" outlineLevel="0" max="4" min="4" style="37" width="7.66"/>
    <col collapsed="false" customWidth="true" hidden="false" outlineLevel="0" max="5" min="5" style="37" width="8.55"/>
    <col collapsed="false" customWidth="true" hidden="false" outlineLevel="0" max="6" min="6" style="37" width="5.99"/>
    <col collapsed="false" customWidth="true" hidden="false" outlineLevel="0" max="7" min="7" style="37" width="7.66"/>
    <col collapsed="false" customWidth="true" hidden="false" outlineLevel="0" max="8" min="8" style="38" width="4.33"/>
    <col collapsed="false" customWidth="true" hidden="false" outlineLevel="0" max="9" min="9" style="38" width="7.55"/>
    <col collapsed="false" customWidth="true" hidden="false" outlineLevel="0" max="10" min="10" style="39" width="12.66"/>
    <col collapsed="false" customWidth="true" hidden="false" outlineLevel="0" max="11" min="11" style="39" width="19.99"/>
    <col collapsed="false" customWidth="true" hidden="false" outlineLevel="0" max="12" min="12" style="39" width="18.33"/>
    <col collapsed="false" customWidth="true" hidden="false" outlineLevel="0" max="13" min="13" style="39" width="17.66"/>
    <col collapsed="false" customWidth="false" hidden="false" outlineLevel="0" max="257" min="14" style="38" width="10.32"/>
  </cols>
  <sheetData>
    <row r="1" customFormat="false" ht="15.6" hidden="false" customHeight="false" outlineLevel="0" collapsed="false">
      <c r="C1" s="41" t="s">
        <v>99</v>
      </c>
      <c r="D1" s="41"/>
      <c r="E1" s="41"/>
      <c r="F1" s="41"/>
      <c r="G1" s="41"/>
      <c r="H1" s="41"/>
      <c r="J1" s="42" t="s">
        <v>676</v>
      </c>
    </row>
    <row r="2" customFormat="false" ht="13.2" hidden="false" customHeight="false" outlineLevel="0" collapsed="false">
      <c r="C2" s="38" t="s">
        <v>25</v>
      </c>
      <c r="D2" s="38"/>
      <c r="E2" s="38"/>
      <c r="F2" s="38"/>
      <c r="G2" s="38"/>
    </row>
    <row r="3" customFormat="false" ht="4.95" hidden="false" customHeight="true" outlineLevel="0" collapsed="false">
      <c r="C3" s="38"/>
      <c r="D3" s="38"/>
      <c r="E3" s="38"/>
      <c r="F3" s="38"/>
      <c r="G3" s="38"/>
    </row>
    <row r="4" customFormat="false" ht="18.6" hidden="false" customHeight="true" outlineLevel="0" collapsed="false">
      <c r="A4" s="43" t="s">
        <v>6</v>
      </c>
      <c r="B4" s="43"/>
      <c r="C4" s="43" t="s">
        <v>26</v>
      </c>
      <c r="D4" s="43"/>
      <c r="E4" s="43"/>
      <c r="F4" s="43"/>
      <c r="G4" s="44"/>
      <c r="H4" s="44"/>
      <c r="I4" s="41"/>
      <c r="J4" s="416"/>
      <c r="K4" s="45" t="s">
        <v>28</v>
      </c>
      <c r="L4" s="45" t="s">
        <v>29</v>
      </c>
      <c r="M4" s="45" t="s">
        <v>30</v>
      </c>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c r="IH4" s="41"/>
      <c r="II4" s="41"/>
      <c r="IJ4" s="41"/>
      <c r="IK4" s="41"/>
      <c r="IL4" s="41"/>
      <c r="IM4" s="41"/>
      <c r="IN4" s="41"/>
      <c r="IO4" s="41"/>
      <c r="IP4" s="41"/>
      <c r="IQ4" s="41"/>
      <c r="IR4" s="41"/>
      <c r="IS4" s="41"/>
      <c r="IT4" s="41"/>
      <c r="IU4" s="41"/>
      <c r="IV4" s="41"/>
      <c r="IW4" s="41"/>
    </row>
    <row r="5" customFormat="false" ht="13.2" hidden="false" customHeight="false" outlineLevel="0" collapsed="false">
      <c r="A5" s="37" t="n">
        <v>10</v>
      </c>
      <c r="B5" s="37" t="s">
        <v>56</v>
      </c>
      <c r="I5" s="59" t="s">
        <v>677</v>
      </c>
      <c r="J5" s="417" t="n">
        <v>5</v>
      </c>
    </row>
    <row r="6" customFormat="false" ht="13.2" hidden="false" customHeight="false" outlineLevel="0" collapsed="false">
      <c r="C6" s="37" t="s">
        <v>678</v>
      </c>
    </row>
    <row r="7" customFormat="false" ht="13.2" hidden="false" customHeight="false" outlineLevel="0" collapsed="false">
      <c r="C7" s="37" t="s">
        <v>679</v>
      </c>
      <c r="H7" s="37"/>
      <c r="J7" s="38"/>
    </row>
    <row r="8" customFormat="false" ht="13.2" hidden="false" customHeight="false" outlineLevel="0" collapsed="false">
      <c r="C8" s="37" t="s">
        <v>680</v>
      </c>
      <c r="H8" s="37"/>
      <c r="J8" s="38"/>
    </row>
    <row r="9" customFormat="false" ht="7.5" hidden="false" customHeight="true" outlineLevel="0" collapsed="false">
      <c r="H9" s="37"/>
      <c r="J9" s="38"/>
    </row>
    <row r="10" customFormat="false" ht="13.2" hidden="false" customHeight="false" outlineLevel="0" collapsed="false">
      <c r="C10" s="37" t="s">
        <v>681</v>
      </c>
      <c r="J10" s="38"/>
    </row>
    <row r="11" customFormat="false" ht="13.2" hidden="false" customHeight="false" outlineLevel="0" collapsed="false">
      <c r="C11" s="37" t="s">
        <v>682</v>
      </c>
      <c r="F11" s="37" t="s">
        <v>683</v>
      </c>
      <c r="G11" s="37" t="s">
        <v>569</v>
      </c>
      <c r="I11" s="38" t="s">
        <v>684</v>
      </c>
      <c r="J11" s="54" t="s">
        <v>685</v>
      </c>
      <c r="K11" s="38"/>
    </row>
    <row r="12" customFormat="false" ht="13.2" hidden="false" customHeight="false" outlineLevel="0" collapsed="false">
      <c r="C12" s="37" t="s">
        <v>686</v>
      </c>
      <c r="F12" s="196" t="s">
        <v>687</v>
      </c>
      <c r="G12" s="196"/>
      <c r="H12" s="37"/>
      <c r="J12" s="38"/>
      <c r="K12" s="54"/>
    </row>
    <row r="13" customFormat="false" ht="13.2" hidden="false" customHeight="false" outlineLevel="0" collapsed="false">
      <c r="C13" s="290" t="s">
        <v>688</v>
      </c>
      <c r="E13" s="37" t="s">
        <v>689</v>
      </c>
      <c r="F13" s="418" t="n">
        <v>150</v>
      </c>
      <c r="G13" s="290" t="s">
        <v>690</v>
      </c>
      <c r="I13" s="37" t="n">
        <v>18</v>
      </c>
      <c r="J13" s="39" t="n">
        <f aca="false">+F13*I13</f>
        <v>2700</v>
      </c>
    </row>
    <row r="14" customFormat="false" ht="13.2" hidden="false" customHeight="false" outlineLevel="0" collapsed="false">
      <c r="C14" s="290" t="s">
        <v>688</v>
      </c>
      <c r="E14" s="37" t="s">
        <v>689</v>
      </c>
      <c r="F14" s="418" t="n">
        <v>150</v>
      </c>
      <c r="G14" s="290" t="s">
        <v>691</v>
      </c>
      <c r="I14" s="37" t="n">
        <v>41</v>
      </c>
      <c r="J14" s="39" t="n">
        <f aca="false">+F14*I14</f>
        <v>6150</v>
      </c>
    </row>
    <row r="15" customFormat="false" ht="13.2" hidden="false" customHeight="false" outlineLevel="0" collapsed="false">
      <c r="C15" s="290" t="s">
        <v>692</v>
      </c>
      <c r="E15" s="37" t="s">
        <v>689</v>
      </c>
      <c r="F15" s="418" t="n">
        <v>150</v>
      </c>
      <c r="G15" s="290" t="s">
        <v>690</v>
      </c>
      <c r="I15" s="37" t="n">
        <v>38</v>
      </c>
      <c r="J15" s="39" t="n">
        <f aca="false">+F15*I15</f>
        <v>5700</v>
      </c>
    </row>
    <row r="16" customFormat="false" ht="13.2" hidden="false" customHeight="false" outlineLevel="0" collapsed="false">
      <c r="C16" s="290" t="s">
        <v>692</v>
      </c>
      <c r="E16" s="37" t="s">
        <v>689</v>
      </c>
      <c r="F16" s="418" t="n">
        <v>150</v>
      </c>
      <c r="G16" s="290" t="s">
        <v>691</v>
      </c>
      <c r="I16" s="37" t="n">
        <v>51.5</v>
      </c>
      <c r="J16" s="39" t="n">
        <f aca="false">+F16*I16</f>
        <v>7725</v>
      </c>
    </row>
    <row r="17" customFormat="false" ht="13.2" hidden="false" customHeight="false" outlineLevel="0" collapsed="false">
      <c r="C17" s="290" t="s">
        <v>693</v>
      </c>
      <c r="E17" s="37" t="s">
        <v>689</v>
      </c>
      <c r="F17" s="418" t="n">
        <v>150</v>
      </c>
      <c r="G17" s="290" t="s">
        <v>694</v>
      </c>
      <c r="I17" s="37" t="n">
        <v>24</v>
      </c>
      <c r="J17" s="39" t="n">
        <f aca="false">+F17*I17</f>
        <v>3600</v>
      </c>
    </row>
    <row r="18" customFormat="false" ht="13.2" hidden="false" customHeight="false" outlineLevel="0" collapsed="false">
      <c r="C18" s="290" t="s">
        <v>693</v>
      </c>
      <c r="E18" s="37" t="s">
        <v>689</v>
      </c>
      <c r="F18" s="418" t="n">
        <v>150</v>
      </c>
      <c r="G18" s="290" t="s">
        <v>690</v>
      </c>
      <c r="I18" s="37" t="n">
        <v>24</v>
      </c>
      <c r="J18" s="39" t="n">
        <f aca="false">+F18*I18</f>
        <v>3600</v>
      </c>
    </row>
    <row r="19" customFormat="false" ht="13.2" hidden="false" customHeight="false" outlineLevel="0" collapsed="false">
      <c r="C19" s="290" t="s">
        <v>695</v>
      </c>
      <c r="E19" s="37" t="s">
        <v>689</v>
      </c>
      <c r="F19" s="418" t="n">
        <v>150</v>
      </c>
      <c r="G19" s="290" t="s">
        <v>690</v>
      </c>
      <c r="I19" s="37" t="n">
        <v>43</v>
      </c>
      <c r="J19" s="39" t="n">
        <f aca="false">+F19*I19</f>
        <v>6450</v>
      </c>
    </row>
    <row r="20" customFormat="false" ht="13.2" hidden="false" customHeight="false" outlineLevel="0" collapsed="false">
      <c r="C20" s="290" t="s">
        <v>696</v>
      </c>
      <c r="E20" s="37" t="s">
        <v>689</v>
      </c>
      <c r="F20" s="418" t="n">
        <v>100</v>
      </c>
      <c r="G20" s="290" t="s">
        <v>694</v>
      </c>
      <c r="I20" s="37" t="n">
        <v>6</v>
      </c>
      <c r="J20" s="39" t="n">
        <f aca="false">+F20*I20</f>
        <v>600</v>
      </c>
    </row>
    <row r="21" customFormat="false" ht="13.2" hidden="false" customHeight="false" outlineLevel="0" collapsed="false">
      <c r="C21" s="290" t="s">
        <v>696</v>
      </c>
      <c r="E21" s="37" t="s">
        <v>689</v>
      </c>
      <c r="F21" s="418" t="n">
        <v>100</v>
      </c>
      <c r="G21" s="290" t="s">
        <v>690</v>
      </c>
      <c r="I21" s="37" t="n">
        <v>60</v>
      </c>
      <c r="J21" s="39" t="n">
        <f aca="false">+F21*I21</f>
        <v>6000</v>
      </c>
      <c r="L21" s="39" t="n">
        <f aca="false">+J21*-0.5</f>
        <v>-3000</v>
      </c>
    </row>
    <row r="22" customFormat="false" ht="13.2" hidden="false" customHeight="false" outlineLevel="0" collapsed="false">
      <c r="C22" s="290" t="s">
        <v>696</v>
      </c>
      <c r="E22" s="37" t="s">
        <v>689</v>
      </c>
      <c r="F22" s="418" t="n">
        <v>100</v>
      </c>
      <c r="G22" s="290" t="s">
        <v>691</v>
      </c>
      <c r="I22" s="37" t="n">
        <v>55</v>
      </c>
      <c r="J22" s="39" t="n">
        <f aca="false">+F22*I22</f>
        <v>5500</v>
      </c>
      <c r="L22" s="39" t="n">
        <f aca="false">+J22*-0.5</f>
        <v>-2750</v>
      </c>
    </row>
    <row r="23" customFormat="false" ht="13.2" hidden="false" customHeight="false" outlineLevel="0" collapsed="false">
      <c r="C23" s="290" t="s">
        <v>697</v>
      </c>
      <c r="E23" s="37" t="s">
        <v>689</v>
      </c>
      <c r="F23" s="418" t="n">
        <v>75</v>
      </c>
      <c r="G23" s="290" t="s">
        <v>691</v>
      </c>
      <c r="I23" s="37" t="n">
        <v>37.5</v>
      </c>
      <c r="J23" s="39" t="n">
        <f aca="false">+F23*I23</f>
        <v>2812.5</v>
      </c>
    </row>
    <row r="24" customFormat="false" ht="13.2" hidden="false" customHeight="false" outlineLevel="0" collapsed="false">
      <c r="C24" s="290" t="s">
        <v>698</v>
      </c>
      <c r="E24" s="37" t="s">
        <v>689</v>
      </c>
      <c r="F24" s="418" t="n">
        <v>75</v>
      </c>
      <c r="G24" s="290" t="s">
        <v>691</v>
      </c>
      <c r="I24" s="37" t="n">
        <v>6</v>
      </c>
      <c r="J24" s="39" t="n">
        <f aca="false">+F24*I24</f>
        <v>450</v>
      </c>
    </row>
    <row r="25" customFormat="false" ht="13.2" hidden="false" customHeight="false" outlineLevel="0" collapsed="false">
      <c r="C25" s="290" t="s">
        <v>699</v>
      </c>
      <c r="E25" s="37" t="s">
        <v>689</v>
      </c>
      <c r="F25" s="419" t="n">
        <v>25000</v>
      </c>
      <c r="G25" s="419"/>
      <c r="H25" s="37" t="s">
        <v>700</v>
      </c>
      <c r="J25" s="39" t="n">
        <f aca="false">+F25</f>
        <v>25000</v>
      </c>
      <c r="L25" s="39" t="n">
        <v>-12500</v>
      </c>
    </row>
    <row r="26" customFormat="false" ht="13.2" hidden="false" customHeight="false" outlineLevel="0" collapsed="false">
      <c r="C26" s="290"/>
      <c r="D26" s="261" t="s">
        <v>701</v>
      </c>
      <c r="F26" s="420"/>
      <c r="G26" s="420"/>
      <c r="H26" s="37"/>
    </row>
    <row r="27" customFormat="false" ht="13.2" hidden="false" customHeight="false" outlineLevel="0" collapsed="false">
      <c r="C27" s="37" t="s">
        <v>702</v>
      </c>
    </row>
    <row r="28" customFormat="false" ht="13.2" hidden="false" customHeight="false" outlineLevel="0" collapsed="false">
      <c r="C28" s="421" t="s">
        <v>703</v>
      </c>
      <c r="E28" s="37" t="s">
        <v>689</v>
      </c>
      <c r="F28" s="418" t="n">
        <v>200</v>
      </c>
      <c r="G28" s="290" t="s">
        <v>694</v>
      </c>
      <c r="I28" s="37" t="n">
        <v>21</v>
      </c>
      <c r="J28" s="39" t="n">
        <f aca="false">+F28*I28</f>
        <v>4200</v>
      </c>
    </row>
    <row r="29" customFormat="false" ht="13.2" hidden="false" customHeight="false" outlineLevel="0" collapsed="false">
      <c r="C29" s="421" t="s">
        <v>703</v>
      </c>
      <c r="E29" s="37" t="s">
        <v>689</v>
      </c>
      <c r="F29" s="418" t="n">
        <v>200</v>
      </c>
      <c r="G29" s="290" t="s">
        <v>690</v>
      </c>
      <c r="I29" s="37" t="n">
        <v>19</v>
      </c>
      <c r="J29" s="39" t="n">
        <f aca="false">+F29*I29</f>
        <v>3800</v>
      </c>
    </row>
    <row r="30" customFormat="false" ht="13.2" hidden="false" customHeight="false" outlineLevel="0" collapsed="false">
      <c r="C30" s="421" t="s">
        <v>703</v>
      </c>
      <c r="E30" s="37" t="s">
        <v>689</v>
      </c>
      <c r="F30" s="418" t="n">
        <v>200</v>
      </c>
      <c r="G30" s="290" t="s">
        <v>691</v>
      </c>
      <c r="I30" s="37" t="n">
        <v>9</v>
      </c>
      <c r="J30" s="39" t="n">
        <f aca="false">+F30*I30</f>
        <v>1800</v>
      </c>
    </row>
    <row r="31" customFormat="false" ht="13.2" hidden="false" customHeight="false" outlineLevel="0" collapsed="false">
      <c r="C31" s="421" t="s">
        <v>704</v>
      </c>
      <c r="E31" s="37" t="s">
        <v>689</v>
      </c>
      <c r="F31" s="418" t="n">
        <v>175</v>
      </c>
      <c r="G31" s="290" t="s">
        <v>690</v>
      </c>
      <c r="I31" s="37" t="n">
        <v>15</v>
      </c>
      <c r="J31" s="39" t="n">
        <f aca="false">+F31*I31</f>
        <v>2625</v>
      </c>
    </row>
    <row r="32" customFormat="false" ht="13.2" hidden="false" customHeight="false" outlineLevel="0" collapsed="false">
      <c r="C32" s="421" t="s">
        <v>704</v>
      </c>
      <c r="E32" s="37" t="s">
        <v>689</v>
      </c>
      <c r="F32" s="418" t="n">
        <v>175</v>
      </c>
      <c r="G32" s="290" t="s">
        <v>691</v>
      </c>
      <c r="I32" s="37" t="n">
        <v>13</v>
      </c>
      <c r="J32" s="39" t="n">
        <f aca="false">+F32*I32</f>
        <v>2275</v>
      </c>
    </row>
    <row r="33" customFormat="false" ht="13.2" hidden="false" customHeight="false" outlineLevel="0" collapsed="false">
      <c r="C33" s="421" t="s">
        <v>705</v>
      </c>
      <c r="E33" s="37" t="s">
        <v>689</v>
      </c>
      <c r="F33" s="418" t="n">
        <v>175</v>
      </c>
      <c r="G33" s="290" t="s">
        <v>694</v>
      </c>
      <c r="I33" s="37" t="n">
        <v>2.5</v>
      </c>
      <c r="J33" s="39" t="n">
        <f aca="false">+F33*I33</f>
        <v>437.5</v>
      </c>
    </row>
    <row r="34" customFormat="false" ht="13.2" hidden="false" customHeight="false" outlineLevel="0" collapsed="false">
      <c r="C34" s="421" t="s">
        <v>705</v>
      </c>
      <c r="E34" s="37" t="s">
        <v>689</v>
      </c>
      <c r="F34" s="418" t="n">
        <v>175</v>
      </c>
      <c r="G34" s="290" t="s">
        <v>690</v>
      </c>
      <c r="I34" s="37" t="n">
        <v>7</v>
      </c>
      <c r="J34" s="39" t="n">
        <f aca="false">+F34*I34</f>
        <v>1225</v>
      </c>
    </row>
    <row r="35" customFormat="false" ht="13.2" hidden="false" customHeight="false" outlineLevel="0" collapsed="false">
      <c r="C35" s="421" t="s">
        <v>705</v>
      </c>
      <c r="E35" s="37" t="s">
        <v>689</v>
      </c>
      <c r="F35" s="418" t="n">
        <v>175</v>
      </c>
      <c r="G35" s="290" t="s">
        <v>691</v>
      </c>
      <c r="I35" s="37" t="n">
        <v>16</v>
      </c>
      <c r="J35" s="39" t="n">
        <f aca="false">+F35*I35</f>
        <v>2800</v>
      </c>
    </row>
    <row r="36" customFormat="false" ht="13.2" hidden="false" customHeight="false" outlineLevel="0" collapsed="false">
      <c r="C36" s="290" t="s">
        <v>695</v>
      </c>
      <c r="E36" s="37" t="s">
        <v>689</v>
      </c>
      <c r="F36" s="418" t="n">
        <v>150</v>
      </c>
      <c r="G36" s="290" t="s">
        <v>691</v>
      </c>
      <c r="I36" s="37" t="n">
        <v>49</v>
      </c>
      <c r="J36" s="39" t="n">
        <f aca="false">+F36*I36</f>
        <v>7350</v>
      </c>
    </row>
    <row r="37" customFormat="false" ht="13.2" hidden="false" customHeight="false" outlineLevel="0" collapsed="false">
      <c r="C37" s="290" t="s">
        <v>706</v>
      </c>
      <c r="E37" s="37" t="s">
        <v>689</v>
      </c>
      <c r="F37" s="418" t="n">
        <v>150</v>
      </c>
      <c r="G37" s="290" t="s">
        <v>690</v>
      </c>
      <c r="I37" s="37" t="n">
        <v>2</v>
      </c>
      <c r="J37" s="39" t="n">
        <f aca="false">+F37*I37</f>
        <v>300</v>
      </c>
    </row>
    <row r="38" customFormat="false" ht="13.2" hidden="false" customHeight="false" outlineLevel="0" collapsed="false">
      <c r="C38" s="290" t="s">
        <v>706</v>
      </c>
      <c r="E38" s="37" t="s">
        <v>689</v>
      </c>
      <c r="F38" s="418" t="n">
        <v>150</v>
      </c>
      <c r="G38" s="290" t="s">
        <v>691</v>
      </c>
      <c r="I38" s="37" t="n">
        <v>1.5</v>
      </c>
      <c r="J38" s="39" t="n">
        <f aca="false">+F38*I38</f>
        <v>225</v>
      </c>
    </row>
    <row r="39" customFormat="false" ht="13.2" hidden="false" customHeight="false" outlineLevel="0" collapsed="false">
      <c r="C39" s="421" t="s">
        <v>707</v>
      </c>
      <c r="E39" s="37" t="s">
        <v>689</v>
      </c>
      <c r="F39" s="418" t="n">
        <v>150</v>
      </c>
      <c r="G39" s="290" t="s">
        <v>708</v>
      </c>
      <c r="I39" s="37" t="n">
        <v>3.5</v>
      </c>
      <c r="J39" s="39" t="n">
        <f aca="false">+F39*I39</f>
        <v>525</v>
      </c>
    </row>
    <row r="40" customFormat="false" ht="13.2" hidden="false" customHeight="false" outlineLevel="0" collapsed="false">
      <c r="C40" s="290" t="s">
        <v>697</v>
      </c>
      <c r="E40" s="37" t="s">
        <v>689</v>
      </c>
      <c r="F40" s="418" t="n">
        <v>75</v>
      </c>
      <c r="G40" s="290" t="s">
        <v>691</v>
      </c>
      <c r="I40" s="37" t="n">
        <v>2</v>
      </c>
      <c r="J40" s="39" t="n">
        <f aca="false">+F40*I40</f>
        <v>150</v>
      </c>
    </row>
    <row r="41" customFormat="false" ht="13.2" hidden="false" customHeight="false" outlineLevel="0" collapsed="false">
      <c r="C41" s="290" t="s">
        <v>709</v>
      </c>
      <c r="E41" s="37" t="s">
        <v>689</v>
      </c>
      <c r="F41" s="418" t="n">
        <v>75</v>
      </c>
      <c r="G41" s="290" t="s">
        <v>690</v>
      </c>
      <c r="I41" s="37" t="n">
        <v>2</v>
      </c>
      <c r="J41" s="39" t="n">
        <f aca="false">+F41*I41</f>
        <v>150</v>
      </c>
    </row>
    <row r="42" customFormat="false" ht="13.2" hidden="false" customHeight="false" outlineLevel="0" collapsed="false">
      <c r="C42" s="290" t="s">
        <v>709</v>
      </c>
      <c r="E42" s="37" t="s">
        <v>689</v>
      </c>
      <c r="F42" s="418" t="n">
        <v>75</v>
      </c>
      <c r="G42" s="290" t="s">
        <v>691</v>
      </c>
      <c r="I42" s="37" t="n">
        <v>2</v>
      </c>
      <c r="J42" s="39" t="n">
        <f aca="false">+F42*I42</f>
        <v>150</v>
      </c>
    </row>
    <row r="43" customFormat="false" ht="13.2" hidden="false" customHeight="false" outlineLevel="0" collapsed="false">
      <c r="C43" s="290" t="s">
        <v>710</v>
      </c>
      <c r="E43" s="39" t="n">
        <f aca="false">+A43*D43</f>
        <v>0</v>
      </c>
      <c r="F43" s="422" t="s">
        <v>436</v>
      </c>
      <c r="G43" s="290"/>
      <c r="I43" s="37"/>
    </row>
    <row r="44" customFormat="false" ht="13.2" hidden="false" customHeight="false" outlineLevel="0" collapsed="false">
      <c r="C44" s="38"/>
      <c r="E44" s="37" t="s">
        <v>689</v>
      </c>
      <c r="F44" s="418" t="n">
        <v>75</v>
      </c>
      <c r="G44" s="290" t="s">
        <v>691</v>
      </c>
      <c r="I44" s="37" t="n">
        <v>12</v>
      </c>
      <c r="J44" s="77" t="n">
        <v>0</v>
      </c>
    </row>
    <row r="45" customFormat="false" ht="13.2" hidden="false" customHeight="false" outlineLevel="0" collapsed="false">
      <c r="C45" s="38"/>
      <c r="D45" s="37" t="s">
        <v>109</v>
      </c>
      <c r="J45" s="39" t="n">
        <f aca="false">SUM(J13:J44)</f>
        <v>104300</v>
      </c>
    </row>
    <row r="46" customFormat="false" ht="7.8" hidden="false" customHeight="true" outlineLevel="0" collapsed="false">
      <c r="C46" s="38"/>
    </row>
    <row r="47" customFormat="false" ht="13.2" hidden="false" customHeight="false" outlineLevel="0" collapsed="false">
      <c r="C47" s="284" t="s">
        <v>711</v>
      </c>
      <c r="D47" s="0"/>
    </row>
    <row r="48" customFormat="false" ht="13.2" hidden="false" customHeight="false" outlineLevel="0" collapsed="false">
      <c r="C48" s="290" t="s">
        <v>688</v>
      </c>
      <c r="D48" s="0"/>
      <c r="E48" s="290" t="s">
        <v>691</v>
      </c>
      <c r="F48" s="146" t="n">
        <v>921.69</v>
      </c>
      <c r="G48" s="146"/>
      <c r="J48" s="39" t="n">
        <v>1414.07</v>
      </c>
      <c r="L48" s="39" t="n">
        <f aca="false">+F48-J48</f>
        <v>-492.38</v>
      </c>
    </row>
    <row r="49" customFormat="false" ht="13.2" hidden="false" customHeight="false" outlineLevel="0" collapsed="false">
      <c r="C49" s="290"/>
      <c r="D49" s="0"/>
      <c r="E49" s="290" t="s">
        <v>690</v>
      </c>
      <c r="F49" s="423" t="s">
        <v>444</v>
      </c>
      <c r="G49" s="424" t="s">
        <v>712</v>
      </c>
    </row>
    <row r="50" customFormat="false" ht="6.6" hidden="false" customHeight="true" outlineLevel="0" collapsed="false">
      <c r="C50" s="290"/>
      <c r="D50" s="0"/>
      <c r="F50" s="55"/>
      <c r="G50" s="55"/>
    </row>
    <row r="51" customFormat="false" ht="13.2" hidden="false" customHeight="false" outlineLevel="0" collapsed="false">
      <c r="C51" s="290" t="s">
        <v>692</v>
      </c>
      <c r="D51" s="0"/>
      <c r="E51" s="290" t="s">
        <v>691</v>
      </c>
      <c r="F51" s="146" t="n">
        <v>1087.31</v>
      </c>
      <c r="G51" s="146"/>
      <c r="J51" s="39" t="n">
        <v>3142.61</v>
      </c>
      <c r="L51" s="39" t="n">
        <f aca="false">+F53-J51</f>
        <v>-1268</v>
      </c>
    </row>
    <row r="52" customFormat="false" ht="13.2" hidden="false" customHeight="false" outlineLevel="0" collapsed="false">
      <c r="C52" s="290"/>
      <c r="D52" s="0"/>
      <c r="E52" s="290" t="s">
        <v>690</v>
      </c>
      <c r="F52" s="425" t="n">
        <f aca="false">1396.85-609.55</f>
        <v>787.3</v>
      </c>
      <c r="G52" s="425"/>
      <c r="H52" s="426" t="s">
        <v>713</v>
      </c>
      <c r="I52" s="426"/>
      <c r="J52" s="426"/>
    </row>
    <row r="53" customFormat="false" ht="13.2" hidden="false" customHeight="false" outlineLevel="0" collapsed="false">
      <c r="C53" s="290"/>
      <c r="D53" s="0"/>
      <c r="F53" s="146" t="n">
        <f aca="false">SUM(F51:G52)</f>
        <v>1874.61</v>
      </c>
      <c r="G53" s="146"/>
    </row>
    <row r="54" customFormat="false" ht="7.8" hidden="false" customHeight="true" outlineLevel="0" collapsed="false">
      <c r="C54" s="290"/>
      <c r="D54" s="0"/>
    </row>
    <row r="55" customFormat="false" ht="13.2" hidden="false" customHeight="false" outlineLevel="0" collapsed="false">
      <c r="C55" s="290" t="s">
        <v>693</v>
      </c>
      <c r="D55" s="0"/>
      <c r="E55" s="37" t="s">
        <v>714</v>
      </c>
      <c r="J55" s="39" t="n">
        <v>1212.42</v>
      </c>
    </row>
    <row r="56" customFormat="false" ht="9" hidden="false" customHeight="true" outlineLevel="0" collapsed="false">
      <c r="C56" s="290"/>
      <c r="D56" s="0"/>
    </row>
    <row r="57" customFormat="false" ht="13.2" hidden="false" customHeight="false" outlineLevel="0" collapsed="false">
      <c r="C57" s="290" t="s">
        <v>715</v>
      </c>
      <c r="D57" s="0"/>
      <c r="E57" s="290" t="s">
        <v>690</v>
      </c>
      <c r="F57" s="146" t="n">
        <v>653.06</v>
      </c>
      <c r="G57" s="146"/>
      <c r="J57" s="39" t="n">
        <v>2522.07</v>
      </c>
    </row>
    <row r="58" customFormat="false" ht="13.2" hidden="false" customHeight="false" outlineLevel="0" collapsed="false">
      <c r="C58" s="290"/>
      <c r="D58" s="0"/>
      <c r="E58" s="290" t="s">
        <v>691</v>
      </c>
      <c r="F58" s="425" t="n">
        <v>1869.01</v>
      </c>
      <c r="G58" s="425"/>
    </row>
    <row r="59" customFormat="false" ht="13.2" hidden="false" customHeight="false" outlineLevel="0" collapsed="false">
      <c r="C59" s="290"/>
      <c r="D59" s="0"/>
      <c r="F59" s="146" t="n">
        <f aca="false">SUM(F57:G58)</f>
        <v>2522.07</v>
      </c>
      <c r="G59" s="146"/>
    </row>
    <row r="60" customFormat="false" ht="6" hidden="false" customHeight="true" outlineLevel="0" collapsed="false">
      <c r="C60" s="290"/>
      <c r="D60" s="0"/>
    </row>
    <row r="61" customFormat="false" ht="13.2" hidden="false" customHeight="false" outlineLevel="0" collapsed="false">
      <c r="C61" s="290" t="s">
        <v>696</v>
      </c>
      <c r="D61" s="0"/>
      <c r="F61" s="261" t="s">
        <v>716</v>
      </c>
      <c r="J61" s="39" t="n">
        <f aca="false">1431.38-969.15</f>
        <v>462.23</v>
      </c>
    </row>
    <row r="62" customFormat="false" ht="13.2" hidden="false" customHeight="false" outlineLevel="0" collapsed="false">
      <c r="C62" s="290"/>
      <c r="D62" s="0"/>
      <c r="F62" s="261" t="s">
        <v>436</v>
      </c>
      <c r="H62" s="115" t="n">
        <v>1431.38</v>
      </c>
      <c r="I62" s="115"/>
    </row>
    <row r="63" customFormat="false" ht="13.2" hidden="false" customHeight="false" outlineLevel="0" collapsed="false">
      <c r="C63" s="290"/>
      <c r="D63" s="0"/>
      <c r="E63" s="290" t="s">
        <v>694</v>
      </c>
      <c r="F63" s="146" t="n">
        <v>671.13</v>
      </c>
      <c r="G63" s="146"/>
    </row>
    <row r="64" customFormat="false" ht="13.2" hidden="false" customHeight="false" outlineLevel="0" collapsed="false">
      <c r="C64" s="290"/>
      <c r="D64" s="0"/>
      <c r="E64" s="290" t="s">
        <v>690</v>
      </c>
      <c r="F64" s="146" t="n">
        <v>653.06</v>
      </c>
      <c r="G64" s="146"/>
    </row>
    <row r="65" customFormat="false" ht="13.2" hidden="false" customHeight="false" outlineLevel="0" collapsed="false">
      <c r="C65" s="290"/>
      <c r="D65" s="0"/>
      <c r="E65" s="290" t="s">
        <v>691</v>
      </c>
      <c r="F65" s="425" t="n">
        <v>322.93</v>
      </c>
      <c r="G65" s="425"/>
    </row>
    <row r="66" customFormat="false" ht="13.2" hidden="false" customHeight="false" outlineLevel="0" collapsed="false">
      <c r="C66" s="290"/>
      <c r="D66" s="0"/>
      <c r="F66" s="146" t="n">
        <f aca="false">SUM(F63:G65)</f>
        <v>1647.12</v>
      </c>
      <c r="G66" s="146"/>
    </row>
    <row r="67" customFormat="false" ht="13.2" hidden="false" customHeight="false" outlineLevel="0" collapsed="false">
      <c r="C67" s="290" t="s">
        <v>717</v>
      </c>
      <c r="D67" s="0"/>
      <c r="E67" s="290" t="s">
        <v>691</v>
      </c>
      <c r="J67" s="39" t="n">
        <v>1278.84</v>
      </c>
    </row>
    <row r="68" customFormat="false" ht="13.2" hidden="false" customHeight="false" outlineLevel="0" collapsed="false">
      <c r="C68" s="290" t="s">
        <v>698</v>
      </c>
      <c r="D68" s="0"/>
      <c r="E68" s="290" t="s">
        <v>691</v>
      </c>
      <c r="F68" s="38"/>
      <c r="J68" s="39" t="n">
        <v>822.62</v>
      </c>
    </row>
    <row r="69" customFormat="false" ht="13.2" hidden="false" customHeight="false" outlineLevel="0" collapsed="false">
      <c r="C69" s="290" t="s">
        <v>710</v>
      </c>
      <c r="D69" s="0"/>
      <c r="E69" s="290" t="s">
        <v>691</v>
      </c>
      <c r="F69" s="146" t="n">
        <v>1153.5</v>
      </c>
      <c r="G69" s="146"/>
      <c r="J69" s="39" t="n">
        <v>0</v>
      </c>
    </row>
    <row r="70" customFormat="false" ht="13.2" hidden="false" customHeight="false" outlineLevel="0" collapsed="false">
      <c r="C70" s="290"/>
      <c r="D70" s="0"/>
      <c r="E70" s="427" t="s">
        <v>718</v>
      </c>
      <c r="F70" s="425" t="n">
        <v>1156.52</v>
      </c>
      <c r="G70" s="425"/>
      <c r="H70" s="274" t="s">
        <v>502</v>
      </c>
    </row>
    <row r="71" customFormat="false" ht="13.2" hidden="false" customHeight="false" outlineLevel="0" collapsed="false">
      <c r="C71" s="38"/>
      <c r="D71" s="38"/>
      <c r="F71" s="426" t="n">
        <f aca="false">SUM(F69:G70)</f>
        <v>2310.02</v>
      </c>
      <c r="G71" s="426"/>
      <c r="H71" s="274" t="s">
        <v>436</v>
      </c>
    </row>
    <row r="72" customFormat="false" ht="13.2" hidden="false" customHeight="false" outlineLevel="0" collapsed="false">
      <c r="C72" s="428" t="s">
        <v>699</v>
      </c>
      <c r="D72" s="428"/>
      <c r="E72" s="427" t="s">
        <v>719</v>
      </c>
      <c r="F72" s="146" t="n">
        <v>1840.16</v>
      </c>
      <c r="G72" s="146"/>
      <c r="H72" s="274" t="s">
        <v>502</v>
      </c>
    </row>
    <row r="73" customFormat="false" ht="13.2" hidden="false" customHeight="false" outlineLevel="0" collapsed="false">
      <c r="C73" s="146"/>
      <c r="D73" s="146"/>
      <c r="E73" s="427" t="s">
        <v>720</v>
      </c>
      <c r="F73" s="146" t="n">
        <v>1707.14</v>
      </c>
      <c r="G73" s="146"/>
      <c r="H73" s="274" t="s">
        <v>502</v>
      </c>
    </row>
    <row r="74" customFormat="false" ht="13.2" hidden="false" customHeight="false" outlineLevel="0" collapsed="false">
      <c r="C74" s="146"/>
      <c r="D74" s="146"/>
      <c r="E74" s="290" t="s">
        <v>694</v>
      </c>
      <c r="F74" s="146" t="n">
        <v>3382.06</v>
      </c>
      <c r="G74" s="146"/>
      <c r="H74" s="274" t="s">
        <v>502</v>
      </c>
    </row>
    <row r="75" customFormat="false" ht="13.2" hidden="false" customHeight="false" outlineLevel="0" collapsed="false">
      <c r="C75" s="38"/>
      <c r="D75" s="38"/>
      <c r="E75" s="290" t="s">
        <v>694</v>
      </c>
      <c r="F75" s="38" t="s">
        <v>721</v>
      </c>
      <c r="G75" s="38"/>
      <c r="H75" s="146" t="n">
        <f aca="false">-27.62-222.3-1841-40.47-222.3-20-20-19.21-31</f>
        <v>-2443.9</v>
      </c>
      <c r="I75" s="146"/>
    </row>
    <row r="76" customFormat="false" ht="13.2" hidden="false" customHeight="false" outlineLevel="0" collapsed="false">
      <c r="C76" s="146"/>
      <c r="D76" s="146"/>
      <c r="E76" s="290" t="s">
        <v>690</v>
      </c>
      <c r="F76" s="146" t="n">
        <v>2406.01</v>
      </c>
      <c r="G76" s="146"/>
      <c r="H76" s="274"/>
    </row>
    <row r="77" customFormat="false" ht="13.2" hidden="false" customHeight="false" outlineLevel="0" collapsed="false">
      <c r="C77" s="425"/>
      <c r="D77" s="425"/>
      <c r="E77" s="290" t="s">
        <v>691</v>
      </c>
      <c r="F77" s="425" t="n">
        <v>2071.69</v>
      </c>
      <c r="G77" s="425"/>
      <c r="H77" s="274"/>
    </row>
    <row r="78" customFormat="false" ht="13.2" hidden="false" customHeight="false" outlineLevel="0" collapsed="false">
      <c r="C78" s="146"/>
      <c r="D78" s="146"/>
      <c r="E78" s="290"/>
      <c r="F78" s="146" t="n">
        <f aca="false">SUM(F72:G77)</f>
        <v>11407.06</v>
      </c>
      <c r="G78" s="146"/>
      <c r="H78" s="274" t="s">
        <v>722</v>
      </c>
    </row>
    <row r="79" customFormat="false" ht="13.2" hidden="false" customHeight="false" outlineLevel="0" collapsed="false">
      <c r="C79" s="38"/>
      <c r="D79" s="290"/>
      <c r="E79" s="261" t="s">
        <v>723</v>
      </c>
      <c r="J79" s="77" t="n">
        <f aca="false">10888.48-5991.2</f>
        <v>4897.28</v>
      </c>
    </row>
    <row r="80" customFormat="false" ht="13.2" hidden="false" customHeight="false" outlineLevel="0" collapsed="false">
      <c r="D80" s="290" t="s">
        <v>724</v>
      </c>
      <c r="G80" s="38"/>
      <c r="J80" s="39" t="n">
        <f aca="false">SUM(J48:J79)</f>
        <v>15752.14</v>
      </c>
      <c r="L80" s="38"/>
      <c r="M80" s="38"/>
    </row>
    <row r="81" customFormat="false" ht="13.2" hidden="false" customHeight="false" outlineLevel="0" collapsed="false">
      <c r="C81" s="0"/>
      <c r="D81" s="0"/>
      <c r="E81" s="59" t="s">
        <v>29</v>
      </c>
      <c r="F81" s="426" t="n">
        <f aca="false">SUM(L48:L79)</f>
        <v>-1760.38</v>
      </c>
      <c r="G81" s="426"/>
      <c r="H81" s="98" t="n">
        <f aca="false">+J80+F81</f>
        <v>13991.76</v>
      </c>
      <c r="I81" s="98"/>
      <c r="J81" s="55" t="s">
        <v>725</v>
      </c>
    </row>
    <row r="82" customFormat="false" ht="13.2" hidden="false" customHeight="false" outlineLevel="0" collapsed="false">
      <c r="C82" s="284" t="s">
        <v>726</v>
      </c>
      <c r="D82" s="0"/>
    </row>
    <row r="83" customFormat="false" ht="13.2" hidden="false" customHeight="false" outlineLevel="0" collapsed="false">
      <c r="C83" s="290" t="s">
        <v>727</v>
      </c>
      <c r="D83" s="0"/>
      <c r="J83" s="39" t="n">
        <v>1530.97</v>
      </c>
    </row>
    <row r="84" customFormat="false" ht="13.2" hidden="false" customHeight="false" outlineLevel="0" collapsed="false">
      <c r="C84" s="290" t="s">
        <v>728</v>
      </c>
      <c r="D84" s="0"/>
      <c r="F84" s="261" t="s">
        <v>729</v>
      </c>
      <c r="J84" s="39" t="n">
        <v>4320.96</v>
      </c>
      <c r="L84" s="39" t="n">
        <v>-4030</v>
      </c>
    </row>
    <row r="85" customFormat="false" ht="13.2" hidden="false" customHeight="false" outlineLevel="0" collapsed="false">
      <c r="C85" s="290" t="s">
        <v>730</v>
      </c>
      <c r="D85" s="0"/>
      <c r="F85" s="37" t="s">
        <v>731</v>
      </c>
      <c r="J85" s="39" t="n">
        <v>5371.87</v>
      </c>
      <c r="L85" s="39" t="n">
        <f aca="false">-2886-1186</f>
        <v>-4072</v>
      </c>
    </row>
    <row r="86" customFormat="false" ht="13.2" hidden="false" customHeight="false" outlineLevel="0" collapsed="false">
      <c r="C86" s="290" t="s">
        <v>732</v>
      </c>
      <c r="D86" s="0"/>
      <c r="J86" s="39" t="n">
        <v>487.12</v>
      </c>
    </row>
    <row r="87" customFormat="false" ht="13.2" hidden="false" customHeight="false" outlineLevel="0" collapsed="false">
      <c r="C87" s="290" t="s">
        <v>733</v>
      </c>
      <c r="D87" s="0"/>
      <c r="J87" s="39" t="n">
        <v>26.85</v>
      </c>
    </row>
    <row r="88" customFormat="false" ht="13.2" hidden="false" customHeight="false" outlineLevel="0" collapsed="false">
      <c r="C88" s="290" t="s">
        <v>734</v>
      </c>
      <c r="D88" s="0"/>
      <c r="J88" s="77" t="n">
        <v>3000</v>
      </c>
    </row>
    <row r="89" customFormat="false" ht="13.2" hidden="false" customHeight="false" outlineLevel="0" collapsed="false">
      <c r="D89" s="290" t="s">
        <v>735</v>
      </c>
      <c r="J89" s="39" t="n">
        <f aca="false">SUM(J83:J88)</f>
        <v>14737.77</v>
      </c>
    </row>
    <row r="90" customFormat="false" ht="13.2" hidden="false" customHeight="false" outlineLevel="0" collapsed="false">
      <c r="C90" s="0"/>
      <c r="D90" s="0"/>
    </row>
    <row r="91" customFormat="false" ht="13.2" hidden="false" customHeight="false" outlineLevel="0" collapsed="false">
      <c r="C91" s="0"/>
      <c r="D91" s="429" t="s">
        <v>736</v>
      </c>
      <c r="J91" s="39" t="n">
        <f aca="false">+J45+J80+J89</f>
        <v>134789.91</v>
      </c>
      <c r="K91" s="39" t="n">
        <f aca="false">+J91</f>
        <v>134789.91</v>
      </c>
    </row>
    <row r="93" customFormat="false" ht="13.2" hidden="false" customHeight="false" outlineLevel="0" collapsed="false">
      <c r="C93" s="37" t="s">
        <v>737</v>
      </c>
    </row>
    <row r="94" customFormat="false" ht="13.2" hidden="false" customHeight="false" outlineLevel="0" collapsed="false">
      <c r="B94" s="37" t="s">
        <v>679</v>
      </c>
    </row>
    <row r="95" customFormat="false" ht="13.2" hidden="false" customHeight="false" outlineLevel="0" collapsed="false">
      <c r="B95" s="37" t="s">
        <v>680</v>
      </c>
    </row>
    <row r="96" customFormat="false" ht="13.2" hidden="false" customHeight="false" outlineLevel="0" collapsed="false">
      <c r="C96" s="38"/>
      <c r="I96" s="59" t="s">
        <v>677</v>
      </c>
      <c r="J96" s="417" t="n">
        <v>7</v>
      </c>
    </row>
    <row r="97" customFormat="false" ht="13.2" hidden="false" customHeight="false" outlineLevel="0" collapsed="false">
      <c r="B97" s="37" t="s">
        <v>681</v>
      </c>
    </row>
    <row r="98" customFormat="false" ht="13.2" hidden="false" customHeight="false" outlineLevel="0" collapsed="false">
      <c r="B98" s="37" t="s">
        <v>682</v>
      </c>
      <c r="F98" s="37" t="s">
        <v>683</v>
      </c>
      <c r="G98" s="37" t="s">
        <v>569</v>
      </c>
      <c r="I98" s="38" t="s">
        <v>684</v>
      </c>
      <c r="J98" s="54" t="s">
        <v>685</v>
      </c>
    </row>
    <row r="99" customFormat="false" ht="13.2" hidden="false" customHeight="false" outlineLevel="0" collapsed="false">
      <c r="B99" s="37" t="s">
        <v>686</v>
      </c>
      <c r="J99" s="54"/>
    </row>
    <row r="100" customFormat="false" ht="13.2" hidden="false" customHeight="false" outlineLevel="0" collapsed="false">
      <c r="B100" s="430" t="s">
        <v>738</v>
      </c>
      <c r="C100" s="38"/>
      <c r="D100" s="38"/>
      <c r="E100" s="37" t="s">
        <v>689</v>
      </c>
      <c r="F100" s="418" t="n">
        <v>175</v>
      </c>
      <c r="G100" s="37" t="s">
        <v>739</v>
      </c>
      <c r="I100" s="37" t="n">
        <v>46</v>
      </c>
      <c r="J100" s="39" t="n">
        <f aca="false">+F100*I100</f>
        <v>8050</v>
      </c>
    </row>
    <row r="101" customFormat="false" ht="13.2" hidden="false" customHeight="false" outlineLevel="0" collapsed="false">
      <c r="B101" s="196" t="s">
        <v>738</v>
      </c>
      <c r="C101" s="38"/>
      <c r="D101" s="38"/>
      <c r="E101" s="37" t="s">
        <v>689</v>
      </c>
      <c r="F101" s="418" t="n">
        <v>175</v>
      </c>
      <c r="G101" s="37" t="s">
        <v>740</v>
      </c>
      <c r="I101" s="37" t="n">
        <v>15</v>
      </c>
      <c r="J101" s="39" t="n">
        <f aca="false">+F101*I101</f>
        <v>2625</v>
      </c>
      <c r="L101" s="39" t="n">
        <f aca="false">-J101</f>
        <v>-2625</v>
      </c>
    </row>
    <row r="102" customFormat="false" ht="13.2" hidden="false" customHeight="false" outlineLevel="0" collapsed="false">
      <c r="B102" s="37" t="s">
        <v>688</v>
      </c>
      <c r="C102" s="38"/>
      <c r="D102" s="38"/>
      <c r="E102" s="37" t="s">
        <v>689</v>
      </c>
      <c r="F102" s="418" t="n">
        <v>150</v>
      </c>
      <c r="G102" s="37" t="s">
        <v>741</v>
      </c>
      <c r="I102" s="37" t="n">
        <v>41</v>
      </c>
      <c r="J102" s="39" t="n">
        <f aca="false">+F102*I102</f>
        <v>6150</v>
      </c>
    </row>
    <row r="103" customFormat="false" ht="13.2" hidden="false" customHeight="false" outlineLevel="0" collapsed="false">
      <c r="B103" s="37" t="s">
        <v>688</v>
      </c>
      <c r="C103" s="38"/>
      <c r="D103" s="38"/>
      <c r="E103" s="37" t="s">
        <v>689</v>
      </c>
      <c r="F103" s="418" t="n">
        <v>150</v>
      </c>
      <c r="G103" s="37" t="s">
        <v>742</v>
      </c>
      <c r="I103" s="37" t="n">
        <v>56.5</v>
      </c>
      <c r="J103" s="39" t="n">
        <f aca="false">+F103*I103</f>
        <v>8475</v>
      </c>
    </row>
    <row r="104" customFormat="false" ht="13.2" hidden="false" customHeight="false" outlineLevel="0" collapsed="false">
      <c r="B104" s="37" t="s">
        <v>743</v>
      </c>
      <c r="C104" s="38"/>
      <c r="D104" s="38"/>
      <c r="E104" s="37" t="s">
        <v>689</v>
      </c>
      <c r="F104" s="418" t="n">
        <v>150</v>
      </c>
      <c r="G104" s="37" t="s">
        <v>739</v>
      </c>
      <c r="I104" s="37" t="n">
        <v>90</v>
      </c>
      <c r="J104" s="39" t="n">
        <f aca="false">+F104*I104</f>
        <v>13500</v>
      </c>
    </row>
    <row r="105" customFormat="false" ht="13.2" hidden="false" customHeight="false" outlineLevel="0" collapsed="false">
      <c r="B105" s="37" t="s">
        <v>692</v>
      </c>
      <c r="C105" s="38"/>
      <c r="D105" s="38"/>
      <c r="E105" s="37" t="s">
        <v>689</v>
      </c>
      <c r="F105" s="418" t="n">
        <v>150</v>
      </c>
      <c r="G105" s="37" t="s">
        <v>741</v>
      </c>
      <c r="I105" s="37" t="n">
        <v>31</v>
      </c>
      <c r="J105" s="39" t="n">
        <f aca="false">+F105*I105</f>
        <v>4650</v>
      </c>
    </row>
    <row r="106" customFormat="false" ht="13.2" hidden="false" customHeight="false" outlineLevel="0" collapsed="false">
      <c r="B106" s="37" t="s">
        <v>692</v>
      </c>
      <c r="C106" s="38"/>
      <c r="D106" s="38"/>
      <c r="E106" s="37" t="s">
        <v>689</v>
      </c>
      <c r="F106" s="418" t="n">
        <v>150</v>
      </c>
      <c r="G106" s="37" t="s">
        <v>742</v>
      </c>
      <c r="I106" s="37" t="n">
        <v>39</v>
      </c>
      <c r="J106" s="39" t="n">
        <f aca="false">+F106*I106</f>
        <v>5850</v>
      </c>
    </row>
    <row r="107" customFormat="false" ht="13.2" hidden="false" customHeight="false" outlineLevel="0" collapsed="false">
      <c r="B107" s="37" t="s">
        <v>692</v>
      </c>
      <c r="C107" s="38"/>
      <c r="D107" s="38"/>
      <c r="E107" s="37" t="s">
        <v>689</v>
      </c>
      <c r="F107" s="418" t="n">
        <v>150</v>
      </c>
      <c r="G107" s="37" t="s">
        <v>739</v>
      </c>
      <c r="I107" s="37" t="n">
        <v>28</v>
      </c>
      <c r="J107" s="39" t="n">
        <f aca="false">+F107*I107</f>
        <v>4200</v>
      </c>
    </row>
    <row r="108" customFormat="false" ht="13.2" hidden="false" customHeight="false" outlineLevel="0" collapsed="false">
      <c r="B108" s="37" t="s">
        <v>693</v>
      </c>
      <c r="C108" s="38"/>
      <c r="D108" s="38"/>
      <c r="E108" s="37" t="s">
        <v>689</v>
      </c>
      <c r="F108" s="418" t="n">
        <v>150</v>
      </c>
      <c r="G108" s="37" t="s">
        <v>742</v>
      </c>
      <c r="I108" s="37" t="n">
        <v>60</v>
      </c>
      <c r="J108" s="39" t="n">
        <f aca="false">+F108*I108</f>
        <v>9000</v>
      </c>
    </row>
    <row r="109" customFormat="false" ht="13.2" hidden="false" customHeight="false" outlineLevel="0" collapsed="false">
      <c r="B109" s="37" t="s">
        <v>693</v>
      </c>
      <c r="C109" s="38"/>
      <c r="D109" s="38"/>
      <c r="E109" s="37" t="s">
        <v>689</v>
      </c>
      <c r="F109" s="418" t="n">
        <v>150</v>
      </c>
      <c r="G109" s="37" t="s">
        <v>739</v>
      </c>
      <c r="I109" s="37" t="n">
        <v>60</v>
      </c>
      <c r="J109" s="39" t="n">
        <f aca="false">+F109*I109</f>
        <v>9000</v>
      </c>
    </row>
    <row r="110" customFormat="false" ht="13.2" hidden="false" customHeight="false" outlineLevel="0" collapsed="false">
      <c r="B110" s="196" t="s">
        <v>693</v>
      </c>
      <c r="C110" s="38"/>
      <c r="D110" s="38"/>
      <c r="E110" s="37" t="s">
        <v>689</v>
      </c>
      <c r="F110" s="418" t="n">
        <v>150</v>
      </c>
      <c r="G110" s="37" t="s">
        <v>740</v>
      </c>
      <c r="I110" s="37" t="n">
        <v>16</v>
      </c>
      <c r="J110" s="39" t="n">
        <f aca="false">+F110*I110</f>
        <v>2400</v>
      </c>
      <c r="L110" s="39" t="n">
        <f aca="false">-J110</f>
        <v>-2400</v>
      </c>
    </row>
    <row r="111" customFormat="false" ht="13.2" hidden="false" customHeight="false" outlineLevel="0" collapsed="false">
      <c r="B111" s="196" t="s">
        <v>696</v>
      </c>
      <c r="C111" s="38"/>
      <c r="D111" s="38"/>
      <c r="E111" s="37" t="s">
        <v>689</v>
      </c>
      <c r="F111" s="418" t="n">
        <v>100</v>
      </c>
      <c r="G111" s="37" t="s">
        <v>741</v>
      </c>
      <c r="I111" s="37" t="n">
        <v>60</v>
      </c>
      <c r="J111" s="39" t="n">
        <f aca="false">+F111*I111</f>
        <v>6000</v>
      </c>
      <c r="L111" s="39" t="n">
        <f aca="false">+J111*-0.5</f>
        <v>-3000</v>
      </c>
    </row>
    <row r="112" customFormat="false" ht="13.2" hidden="false" customHeight="false" outlineLevel="0" collapsed="false">
      <c r="B112" s="196" t="s">
        <v>696</v>
      </c>
      <c r="C112" s="38"/>
      <c r="D112" s="38"/>
      <c r="E112" s="37" t="s">
        <v>689</v>
      </c>
      <c r="F112" s="418" t="n">
        <v>100</v>
      </c>
      <c r="G112" s="37" t="s">
        <v>742</v>
      </c>
      <c r="I112" s="37" t="n">
        <v>67</v>
      </c>
      <c r="J112" s="39" t="n">
        <f aca="false">+F112*I112</f>
        <v>6700</v>
      </c>
      <c r="L112" s="39" t="n">
        <f aca="false">+J112*-0.5</f>
        <v>-3350</v>
      </c>
    </row>
    <row r="113" customFormat="false" ht="13.2" hidden="false" customHeight="false" outlineLevel="0" collapsed="false">
      <c r="B113" s="196" t="s">
        <v>696</v>
      </c>
      <c r="C113" s="38"/>
      <c r="D113" s="38"/>
      <c r="E113" s="37" t="s">
        <v>689</v>
      </c>
      <c r="F113" s="418" t="n">
        <v>100</v>
      </c>
      <c r="G113" s="37" t="s">
        <v>739</v>
      </c>
      <c r="I113" s="37" t="n">
        <v>57</v>
      </c>
      <c r="J113" s="39" t="n">
        <f aca="false">+F113*I113</f>
        <v>5700</v>
      </c>
      <c r="L113" s="39" t="n">
        <f aca="false">+J113*-0.5</f>
        <v>-2850</v>
      </c>
    </row>
    <row r="114" customFormat="false" ht="13.2" hidden="false" customHeight="false" outlineLevel="0" collapsed="false">
      <c r="B114" s="196" t="s">
        <v>696</v>
      </c>
      <c r="C114" s="38"/>
      <c r="D114" s="38"/>
      <c r="E114" s="37" t="s">
        <v>689</v>
      </c>
      <c r="F114" s="418" t="n">
        <v>100</v>
      </c>
      <c r="G114" s="37" t="s">
        <v>740</v>
      </c>
      <c r="I114" s="37" t="n">
        <v>55</v>
      </c>
      <c r="J114" s="39" t="n">
        <f aca="false">+F114*I114</f>
        <v>5500</v>
      </c>
      <c r="L114" s="39" t="n">
        <f aca="false">-J114</f>
        <v>-5500</v>
      </c>
    </row>
    <row r="115" customFormat="false" ht="13.2" hidden="false" customHeight="false" outlineLevel="0" collapsed="false">
      <c r="B115" s="196" t="s">
        <v>696</v>
      </c>
      <c r="C115" s="38"/>
      <c r="D115" s="38"/>
      <c r="E115" s="37" t="s">
        <v>689</v>
      </c>
      <c r="F115" s="418" t="n">
        <v>100</v>
      </c>
      <c r="G115" s="37" t="s">
        <v>744</v>
      </c>
      <c r="I115" s="37" t="n">
        <v>52</v>
      </c>
      <c r="J115" s="39" t="n">
        <f aca="false">+F115*I115</f>
        <v>5200</v>
      </c>
      <c r="L115" s="39" t="n">
        <f aca="false">-J115</f>
        <v>-5200</v>
      </c>
    </row>
    <row r="116" customFormat="false" ht="13.2" hidden="false" customHeight="false" outlineLevel="0" collapsed="false">
      <c r="B116" s="37" t="s">
        <v>745</v>
      </c>
      <c r="C116" s="38"/>
      <c r="D116" s="38"/>
      <c r="E116" s="37" t="s">
        <v>689</v>
      </c>
      <c r="F116" s="418" t="n">
        <v>75</v>
      </c>
      <c r="G116" s="37" t="s">
        <v>742</v>
      </c>
      <c r="I116" s="37" t="n">
        <v>61</v>
      </c>
      <c r="J116" s="39" t="n">
        <f aca="false">+F116*I116</f>
        <v>4575</v>
      </c>
    </row>
    <row r="117" customFormat="false" ht="13.2" hidden="false" customHeight="false" outlineLevel="0" collapsed="false">
      <c r="B117" s="37" t="s">
        <v>698</v>
      </c>
      <c r="C117" s="38"/>
      <c r="D117" s="38"/>
      <c r="E117" s="37" t="s">
        <v>689</v>
      </c>
      <c r="F117" s="418" t="n">
        <v>75</v>
      </c>
      <c r="G117" s="37" t="s">
        <v>739</v>
      </c>
      <c r="I117" s="37" t="n">
        <v>102</v>
      </c>
      <c r="J117" s="39" t="n">
        <f aca="false">+F117*I117</f>
        <v>7650</v>
      </c>
    </row>
    <row r="118" customFormat="false" ht="13.2" hidden="false" customHeight="false" outlineLevel="0" collapsed="false">
      <c r="B118" s="196" t="s">
        <v>698</v>
      </c>
      <c r="C118" s="38"/>
      <c r="D118" s="38"/>
      <c r="E118" s="37" t="s">
        <v>689</v>
      </c>
      <c r="F118" s="418" t="n">
        <v>75</v>
      </c>
      <c r="G118" s="37" t="s">
        <v>740</v>
      </c>
      <c r="I118" s="37" t="n">
        <v>18</v>
      </c>
      <c r="J118" s="39" t="n">
        <f aca="false">+F118*I118</f>
        <v>1350</v>
      </c>
      <c r="L118" s="39" t="n">
        <f aca="false">-J118</f>
        <v>-1350</v>
      </c>
    </row>
    <row r="119" customFormat="false" ht="13.2" hidden="false" customHeight="false" outlineLevel="0" collapsed="false">
      <c r="B119" s="37" t="s">
        <v>699</v>
      </c>
      <c r="C119" s="38"/>
      <c r="D119" s="38"/>
      <c r="E119" s="37" t="s">
        <v>689</v>
      </c>
      <c r="F119" s="419" t="n">
        <v>25000</v>
      </c>
      <c r="G119" s="419"/>
      <c r="H119" s="37" t="s">
        <v>746</v>
      </c>
      <c r="J119" s="39" t="n">
        <v>12500</v>
      </c>
    </row>
    <row r="120" customFormat="false" ht="13.2" hidden="false" customHeight="false" outlineLevel="0" collapsed="false">
      <c r="C120" s="38"/>
      <c r="D120" s="38"/>
      <c r="F120" s="420"/>
      <c r="G120" s="431" t="n">
        <v>25000</v>
      </c>
      <c r="H120" s="261" t="s">
        <v>747</v>
      </c>
    </row>
    <row r="121" customFormat="false" ht="13.2" hidden="false" customHeight="false" outlineLevel="0" collapsed="false">
      <c r="B121" s="37" t="s">
        <v>702</v>
      </c>
      <c r="C121" s="38"/>
      <c r="D121" s="38"/>
      <c r="F121" s="420"/>
      <c r="G121" s="420"/>
      <c r="H121" s="37"/>
    </row>
    <row r="122" customFormat="false" ht="13.2" hidden="false" customHeight="false" outlineLevel="0" collapsed="false">
      <c r="B122" s="432" t="s">
        <v>703</v>
      </c>
      <c r="C122" s="0"/>
      <c r="E122" s="37" t="s">
        <v>689</v>
      </c>
      <c r="F122" s="418" t="n">
        <v>200</v>
      </c>
      <c r="G122" s="290" t="s">
        <v>741</v>
      </c>
      <c r="I122" s="38" t="n">
        <v>1</v>
      </c>
      <c r="J122" s="39" t="n">
        <f aca="false">+F122*I122</f>
        <v>200</v>
      </c>
    </row>
    <row r="123" customFormat="false" ht="13.2" hidden="false" customHeight="false" outlineLevel="0" collapsed="false">
      <c r="B123" s="432" t="s">
        <v>703</v>
      </c>
      <c r="C123" s="0"/>
      <c r="E123" s="37" t="s">
        <v>689</v>
      </c>
      <c r="F123" s="418" t="n">
        <v>200</v>
      </c>
      <c r="G123" s="290" t="s">
        <v>742</v>
      </c>
      <c r="I123" s="38" t="n">
        <v>8</v>
      </c>
      <c r="J123" s="39" t="n">
        <f aca="false">+F123*I123</f>
        <v>1600</v>
      </c>
    </row>
    <row r="124" customFormat="false" ht="13.2" hidden="false" customHeight="false" outlineLevel="0" collapsed="false">
      <c r="B124" s="432" t="s">
        <v>738</v>
      </c>
      <c r="C124" s="0"/>
      <c r="E124" s="37" t="s">
        <v>689</v>
      </c>
      <c r="F124" s="418" t="n">
        <v>175</v>
      </c>
      <c r="G124" s="290" t="s">
        <v>742</v>
      </c>
      <c r="I124" s="38" t="n">
        <v>1.5</v>
      </c>
      <c r="J124" s="39" t="n">
        <f aca="false">+F124*I124</f>
        <v>262.5</v>
      </c>
    </row>
    <row r="125" customFormat="false" ht="13.2" hidden="false" customHeight="false" outlineLevel="0" collapsed="false">
      <c r="B125" s="432" t="s">
        <v>738</v>
      </c>
      <c r="C125" s="0"/>
      <c r="E125" s="37" t="s">
        <v>689</v>
      </c>
      <c r="F125" s="418" t="n">
        <v>175</v>
      </c>
      <c r="G125" s="290" t="s">
        <v>740</v>
      </c>
      <c r="I125" s="38" t="n">
        <v>1</v>
      </c>
      <c r="J125" s="39" t="n">
        <f aca="false">+F125*I125</f>
        <v>175</v>
      </c>
    </row>
    <row r="126" customFormat="false" ht="13.2" hidden="false" customHeight="false" outlineLevel="0" collapsed="false">
      <c r="B126" s="290" t="s">
        <v>695</v>
      </c>
      <c r="C126" s="0"/>
      <c r="E126" s="37" t="s">
        <v>689</v>
      </c>
      <c r="F126" s="418" t="n">
        <v>150</v>
      </c>
      <c r="G126" s="290" t="s">
        <v>741</v>
      </c>
      <c r="I126" s="38" t="n">
        <v>8</v>
      </c>
      <c r="J126" s="39" t="n">
        <f aca="false">+F126*I126</f>
        <v>1200</v>
      </c>
    </row>
    <row r="127" customFormat="false" ht="13.2" hidden="false" customHeight="false" outlineLevel="0" collapsed="false">
      <c r="B127" s="290" t="s">
        <v>748</v>
      </c>
      <c r="C127" s="0"/>
      <c r="E127" s="37" t="s">
        <v>689</v>
      </c>
      <c r="F127" s="418" t="n">
        <v>150</v>
      </c>
      <c r="G127" s="290" t="s">
        <v>742</v>
      </c>
      <c r="I127" s="38" t="n">
        <v>27.5</v>
      </c>
      <c r="J127" s="39" t="n">
        <f aca="false">+F127*I127</f>
        <v>4125</v>
      </c>
    </row>
    <row r="128" customFormat="false" ht="13.2" hidden="false" customHeight="false" outlineLevel="0" collapsed="false">
      <c r="B128" s="290" t="s">
        <v>749</v>
      </c>
      <c r="C128" s="0"/>
      <c r="E128" s="37" t="s">
        <v>689</v>
      </c>
      <c r="F128" s="418" t="n">
        <v>150</v>
      </c>
      <c r="G128" s="290" t="s">
        <v>739</v>
      </c>
      <c r="I128" s="38" t="n">
        <v>42.5</v>
      </c>
      <c r="J128" s="39" t="n">
        <f aca="false">+F128*I128</f>
        <v>6375</v>
      </c>
    </row>
    <row r="129" customFormat="false" ht="13.2" hidden="false" customHeight="false" outlineLevel="0" collapsed="false">
      <c r="B129" s="290" t="s">
        <v>749</v>
      </c>
      <c r="C129" s="0"/>
      <c r="E129" s="37" t="s">
        <v>689</v>
      </c>
      <c r="F129" s="418" t="n">
        <v>150</v>
      </c>
      <c r="G129" s="290" t="s">
        <v>740</v>
      </c>
      <c r="I129" s="38" t="n">
        <v>10.5</v>
      </c>
      <c r="J129" s="39" t="n">
        <f aca="false">+F129*I129</f>
        <v>1575</v>
      </c>
    </row>
    <row r="130" customFormat="false" ht="13.2" hidden="false" customHeight="false" outlineLevel="0" collapsed="false">
      <c r="B130" s="290" t="s">
        <v>706</v>
      </c>
      <c r="C130" s="0"/>
      <c r="E130" s="37" t="s">
        <v>689</v>
      </c>
      <c r="F130" s="418" t="n">
        <v>150</v>
      </c>
      <c r="G130" s="290" t="s">
        <v>741</v>
      </c>
      <c r="I130" s="38" t="n">
        <v>1</v>
      </c>
      <c r="J130" s="39" t="n">
        <f aca="false">+F130*I130</f>
        <v>150</v>
      </c>
    </row>
    <row r="131" customFormat="false" ht="13.2" hidden="false" customHeight="false" outlineLevel="0" collapsed="false">
      <c r="B131" s="290" t="s">
        <v>706</v>
      </c>
      <c r="C131" s="0"/>
      <c r="E131" s="37" t="s">
        <v>689</v>
      </c>
      <c r="F131" s="418" t="n">
        <v>150</v>
      </c>
      <c r="G131" s="290" t="s">
        <v>742</v>
      </c>
      <c r="I131" s="38" t="n">
        <v>0.5</v>
      </c>
      <c r="J131" s="39" t="n">
        <f aca="false">+F131*I131</f>
        <v>75</v>
      </c>
    </row>
    <row r="132" customFormat="false" ht="13.2" hidden="false" customHeight="false" outlineLevel="0" collapsed="false">
      <c r="B132" s="290" t="s">
        <v>706</v>
      </c>
      <c r="C132" s="0"/>
      <c r="E132" s="37" t="s">
        <v>689</v>
      </c>
      <c r="F132" s="418" t="n">
        <v>150</v>
      </c>
      <c r="G132" s="290" t="s">
        <v>739</v>
      </c>
      <c r="I132" s="38" t="n">
        <v>8</v>
      </c>
      <c r="J132" s="39" t="n">
        <f aca="false">+F132*I132</f>
        <v>1200</v>
      </c>
    </row>
    <row r="133" customFormat="false" ht="13.2" hidden="false" customHeight="false" outlineLevel="0" collapsed="false">
      <c r="B133" s="290" t="s">
        <v>697</v>
      </c>
      <c r="C133" s="0"/>
      <c r="E133" s="37" t="s">
        <v>689</v>
      </c>
      <c r="F133" s="418" t="n">
        <v>75</v>
      </c>
      <c r="G133" s="290" t="s">
        <v>741</v>
      </c>
      <c r="I133" s="38" t="n">
        <v>3</v>
      </c>
      <c r="J133" s="39" t="n">
        <f aca="false">+F133*I133</f>
        <v>225</v>
      </c>
    </row>
    <row r="134" customFormat="false" ht="13.2" hidden="false" customHeight="false" outlineLevel="0" collapsed="false">
      <c r="B134" s="290" t="s">
        <v>750</v>
      </c>
      <c r="C134" s="0"/>
      <c r="E134" s="37" t="s">
        <v>689</v>
      </c>
      <c r="F134" s="418" t="n">
        <v>75</v>
      </c>
      <c r="G134" s="290" t="s">
        <v>741</v>
      </c>
      <c r="I134" s="38" t="n">
        <v>4</v>
      </c>
      <c r="J134" s="39" t="n">
        <f aca="false">+F134*I134</f>
        <v>300</v>
      </c>
    </row>
    <row r="135" customFormat="false" ht="13.2" hidden="false" customHeight="false" outlineLevel="0" collapsed="false">
      <c r="B135" s="290" t="s">
        <v>750</v>
      </c>
      <c r="C135" s="0"/>
      <c r="E135" s="37" t="s">
        <v>689</v>
      </c>
      <c r="F135" s="418" t="n">
        <v>75</v>
      </c>
      <c r="G135" s="290" t="s">
        <v>742</v>
      </c>
      <c r="I135" s="38" t="n">
        <v>21.5</v>
      </c>
      <c r="J135" s="39" t="n">
        <f aca="false">+F135*I135</f>
        <v>1612.5</v>
      </c>
    </row>
    <row r="136" customFormat="false" ht="13.2" hidden="false" customHeight="false" outlineLevel="0" collapsed="false">
      <c r="B136" s="290" t="s">
        <v>750</v>
      </c>
      <c r="C136" s="0"/>
      <c r="E136" s="37" t="s">
        <v>689</v>
      </c>
      <c r="F136" s="418" t="n">
        <v>75</v>
      </c>
      <c r="G136" s="290" t="s">
        <v>739</v>
      </c>
      <c r="I136" s="38" t="n">
        <v>2</v>
      </c>
      <c r="J136" s="77" t="n">
        <f aca="false">+F136*I136</f>
        <v>150</v>
      </c>
    </row>
    <row r="137" customFormat="false" ht="13.2" hidden="false" customHeight="false" outlineLevel="0" collapsed="false">
      <c r="D137" s="37" t="s">
        <v>109</v>
      </c>
      <c r="J137" s="39" t="n">
        <f aca="false">SUM(J100:J136)</f>
        <v>148300</v>
      </c>
    </row>
    <row r="138" customFormat="false" ht="13.2" hidden="false" customHeight="false" outlineLevel="0" collapsed="false">
      <c r="B138" s="284" t="s">
        <v>711</v>
      </c>
    </row>
    <row r="139" customFormat="false" ht="13.2" hidden="false" customHeight="false" outlineLevel="0" collapsed="false">
      <c r="B139" s="290" t="s">
        <v>705</v>
      </c>
      <c r="E139" s="290" t="s">
        <v>739</v>
      </c>
      <c r="F139" s="146" t="n">
        <f aca="false">368+51.46+190.59+118.69+107.69</f>
        <v>836.43</v>
      </c>
      <c r="G139" s="146"/>
      <c r="J139" s="39" t="n">
        <v>1420.44</v>
      </c>
    </row>
    <row r="140" customFormat="false" ht="13.2" hidden="false" customHeight="false" outlineLevel="0" collapsed="false">
      <c r="B140" s="290"/>
      <c r="E140" s="421" t="s">
        <v>740</v>
      </c>
      <c r="F140" s="425" t="n">
        <v>583.99</v>
      </c>
      <c r="G140" s="425"/>
      <c r="L140" s="39" t="n">
        <f aca="false">-F140</f>
        <v>-583.99</v>
      </c>
    </row>
    <row r="141" customFormat="false" ht="13.2" hidden="false" customHeight="false" outlineLevel="0" collapsed="false">
      <c r="B141" s="290"/>
      <c r="E141" s="290"/>
      <c r="F141" s="146" t="n">
        <f aca="false">SUM(F139:G140)</f>
        <v>1420.42</v>
      </c>
      <c r="G141" s="146"/>
    </row>
    <row r="142" customFormat="false" ht="13.2" hidden="false" customHeight="false" outlineLevel="0" collapsed="false">
      <c r="B142" s="290" t="s">
        <v>688</v>
      </c>
      <c r="E142" s="290" t="s">
        <v>741</v>
      </c>
      <c r="F142" s="146" t="n">
        <v>1433.86</v>
      </c>
      <c r="G142" s="146"/>
      <c r="H142" s="274"/>
      <c r="J142" s="39" t="n">
        <v>5791.75</v>
      </c>
    </row>
    <row r="143" customFormat="false" ht="13.2" hidden="false" customHeight="false" outlineLevel="0" collapsed="false">
      <c r="B143" s="290"/>
      <c r="E143" s="290" t="s">
        <v>742</v>
      </c>
      <c r="F143" s="146" t="n">
        <v>1275.12</v>
      </c>
      <c r="G143" s="146"/>
      <c r="H143" s="274"/>
    </row>
    <row r="144" customFormat="false" ht="13.2" hidden="false" customHeight="false" outlineLevel="0" collapsed="false">
      <c r="B144" s="290"/>
      <c r="E144" s="290" t="s">
        <v>739</v>
      </c>
      <c r="F144" s="146" t="n">
        <v>2645.13</v>
      </c>
      <c r="G144" s="146"/>
    </row>
    <row r="145" customFormat="false" ht="13.2" hidden="false" customHeight="false" outlineLevel="0" collapsed="false">
      <c r="B145" s="290"/>
      <c r="E145" s="421" t="s">
        <v>740</v>
      </c>
      <c r="F145" s="425" t="n">
        <v>437.64</v>
      </c>
      <c r="G145" s="425"/>
      <c r="L145" s="39" t="n">
        <f aca="false">-F145</f>
        <v>-437.64</v>
      </c>
    </row>
    <row r="146" customFormat="false" ht="13.2" hidden="false" customHeight="false" outlineLevel="0" collapsed="false">
      <c r="B146" s="290"/>
      <c r="E146" s="290"/>
      <c r="F146" s="146" t="n">
        <f aca="false">SUM(F142:G145)</f>
        <v>5791.75</v>
      </c>
      <c r="G146" s="146"/>
    </row>
    <row r="147" customFormat="false" ht="7.8" hidden="false" customHeight="true" outlineLevel="0" collapsed="false">
      <c r="B147" s="290"/>
      <c r="E147" s="290"/>
      <c r="F147" s="146"/>
      <c r="G147" s="146"/>
    </row>
    <row r="148" customFormat="false" ht="13.2" hidden="false" customHeight="false" outlineLevel="0" collapsed="false">
      <c r="B148" s="290" t="s">
        <v>692</v>
      </c>
      <c r="E148" s="290" t="s">
        <v>741</v>
      </c>
      <c r="F148" s="146" t="n">
        <v>1357.82</v>
      </c>
      <c r="G148" s="146"/>
      <c r="J148" s="39" t="n">
        <v>3254.93</v>
      </c>
    </row>
    <row r="149" customFormat="false" ht="13.2" hidden="false" customHeight="false" outlineLevel="0" collapsed="false">
      <c r="B149" s="290"/>
      <c r="E149" s="290" t="s">
        <v>742</v>
      </c>
      <c r="F149" s="146" t="n">
        <v>901.1</v>
      </c>
      <c r="G149" s="146"/>
    </row>
    <row r="150" customFormat="false" ht="13.2" hidden="false" customHeight="false" outlineLevel="0" collapsed="false">
      <c r="B150" s="290"/>
      <c r="E150" s="290" t="s">
        <v>739</v>
      </c>
      <c r="F150" s="146" t="n">
        <v>38.85</v>
      </c>
      <c r="G150" s="146"/>
      <c r="H150" s="38" t="s">
        <v>751</v>
      </c>
    </row>
    <row r="151" customFormat="false" ht="13.2" hidden="false" customHeight="true" outlineLevel="0" collapsed="false">
      <c r="B151" s="290"/>
      <c r="E151" s="290" t="s">
        <v>739</v>
      </c>
      <c r="F151" s="425" t="n">
        <v>957.16</v>
      </c>
      <c r="G151" s="425"/>
      <c r="H151" s="433" t="s">
        <v>752</v>
      </c>
      <c r="I151" s="433"/>
      <c r="J151" s="433"/>
      <c r="K151" s="433"/>
      <c r="L151" s="39" t="n">
        <v>-68.3</v>
      </c>
    </row>
    <row r="152" customFormat="false" ht="13.2" hidden="false" customHeight="false" outlineLevel="0" collapsed="false">
      <c r="B152" s="290"/>
      <c r="F152" s="146" t="n">
        <f aca="false">SUM(F148:G151)</f>
        <v>3254.93</v>
      </c>
      <c r="G152" s="146"/>
      <c r="H152" s="433"/>
      <c r="I152" s="433"/>
      <c r="J152" s="433"/>
      <c r="K152" s="433"/>
    </row>
    <row r="153" customFormat="false" ht="13.2" hidden="false" customHeight="false" outlineLevel="0" collapsed="false">
      <c r="B153" s="290"/>
      <c r="F153" s="146"/>
      <c r="G153" s="146"/>
    </row>
    <row r="154" customFormat="false" ht="13.2" hidden="false" customHeight="false" outlineLevel="0" collapsed="false">
      <c r="B154" s="290" t="s">
        <v>693</v>
      </c>
      <c r="E154" s="37" t="s">
        <v>714</v>
      </c>
      <c r="J154" s="39" t="n">
        <v>0</v>
      </c>
    </row>
    <row r="155" customFormat="false" ht="13.2" hidden="false" customHeight="false" outlineLevel="0" collapsed="false">
      <c r="B155" s="290"/>
      <c r="C155" s="261"/>
      <c r="H155" s="115" t="n">
        <v>3854.51</v>
      </c>
      <c r="I155" s="115"/>
      <c r="J155" s="320" t="s">
        <v>436</v>
      </c>
    </row>
    <row r="156" customFormat="false" ht="13.2" hidden="false" customHeight="false" outlineLevel="0" collapsed="false">
      <c r="B156" s="290"/>
      <c r="C156" s="261"/>
    </row>
    <row r="157" customFormat="false" ht="13.2" hidden="false" customHeight="false" outlineLevel="0" collapsed="false">
      <c r="B157" s="290" t="s">
        <v>696</v>
      </c>
      <c r="C157" s="261"/>
      <c r="E157" s="38"/>
      <c r="J157" s="39" t="n">
        <f aca="false">+F166</f>
        <v>4784.99</v>
      </c>
    </row>
    <row r="158" customFormat="false" ht="13.2" hidden="false" customHeight="false" outlineLevel="0" collapsed="false">
      <c r="B158" s="38"/>
      <c r="E158" s="421" t="s">
        <v>753</v>
      </c>
      <c r="F158" s="146" t="n">
        <v>335.27</v>
      </c>
      <c r="G158" s="146"/>
      <c r="H158" s="38" t="s">
        <v>754</v>
      </c>
      <c r="J158" s="38"/>
      <c r="L158" s="39" t="n">
        <f aca="false">-F158</f>
        <v>-335.27</v>
      </c>
    </row>
    <row r="159" customFormat="false" ht="13.2" hidden="false" customHeight="false" outlineLevel="0" collapsed="false">
      <c r="B159" s="290"/>
      <c r="E159" s="421" t="s">
        <v>755</v>
      </c>
      <c r="F159" s="146" t="n">
        <v>499.43</v>
      </c>
      <c r="G159" s="146"/>
      <c r="H159" s="38" t="s">
        <v>756</v>
      </c>
      <c r="L159" s="39" t="n">
        <f aca="false">-F160</f>
        <v>-426.79</v>
      </c>
    </row>
    <row r="160" customFormat="false" ht="13.2" hidden="false" customHeight="false" outlineLevel="0" collapsed="false">
      <c r="B160" s="290"/>
      <c r="E160" s="421" t="s">
        <v>757</v>
      </c>
      <c r="F160" s="146" t="n">
        <v>426.79</v>
      </c>
      <c r="G160" s="146"/>
      <c r="L160" s="39" t="n">
        <f aca="false">-F160</f>
        <v>-426.79</v>
      </c>
    </row>
    <row r="161" customFormat="false" ht="13.2" hidden="false" customHeight="false" outlineLevel="0" collapsed="false">
      <c r="B161" s="290"/>
      <c r="E161" s="421" t="s">
        <v>758</v>
      </c>
      <c r="F161" s="146" t="n">
        <v>503.76</v>
      </c>
      <c r="G161" s="146"/>
      <c r="H161" s="38" t="s">
        <v>759</v>
      </c>
      <c r="L161" s="39" t="n">
        <f aca="false">-F161</f>
        <v>-503.76</v>
      </c>
    </row>
    <row r="162" customFormat="false" ht="13.2" hidden="false" customHeight="false" outlineLevel="0" collapsed="false">
      <c r="B162" s="290"/>
      <c r="E162" s="421" t="s">
        <v>760</v>
      </c>
      <c r="F162" s="146" t="n">
        <v>359.74</v>
      </c>
      <c r="G162" s="146"/>
      <c r="H162" s="38" t="s">
        <v>761</v>
      </c>
      <c r="L162" s="39" t="n">
        <f aca="false">-F162</f>
        <v>-359.74</v>
      </c>
    </row>
    <row r="163" customFormat="false" ht="13.2" hidden="false" customHeight="false" outlineLevel="0" collapsed="false">
      <c r="B163" s="290"/>
      <c r="E163" s="434" t="s">
        <v>762</v>
      </c>
      <c r="F163" s="146" t="n">
        <v>1140</v>
      </c>
      <c r="G163" s="146"/>
      <c r="H163" s="38" t="s">
        <v>763</v>
      </c>
      <c r="L163" s="39" t="n">
        <f aca="false">-F163</f>
        <v>-1140</v>
      </c>
    </row>
    <row r="164" customFormat="false" ht="13.2" hidden="false" customHeight="false" outlineLevel="0" collapsed="false">
      <c r="B164" s="290"/>
      <c r="E164" s="434" t="s">
        <v>764</v>
      </c>
      <c r="F164" s="146" t="n">
        <v>1520</v>
      </c>
      <c r="G164" s="146"/>
      <c r="L164" s="39" t="n">
        <f aca="false">-F164</f>
        <v>-1520</v>
      </c>
    </row>
    <row r="165" customFormat="false" ht="13.2" hidden="false" customHeight="false" outlineLevel="0" collapsed="false">
      <c r="B165" s="290"/>
      <c r="E165" s="434" t="s">
        <v>765</v>
      </c>
      <c r="F165" s="425" t="n">
        <v>0</v>
      </c>
      <c r="G165" s="425"/>
      <c r="H165" s="274" t="s">
        <v>766</v>
      </c>
    </row>
    <row r="166" customFormat="false" ht="13.2" hidden="false" customHeight="false" outlineLevel="0" collapsed="false">
      <c r="B166" s="290"/>
      <c r="E166" s="290"/>
      <c r="F166" s="146" t="n">
        <f aca="false">SUM(F158:G165)</f>
        <v>4784.99</v>
      </c>
      <c r="G166" s="146"/>
    </row>
    <row r="167" customFormat="false" ht="5.4" hidden="false" customHeight="true" outlineLevel="0" collapsed="false">
      <c r="B167" s="290"/>
      <c r="E167" s="38"/>
      <c r="F167" s="146"/>
      <c r="G167" s="146"/>
    </row>
    <row r="168" customFormat="false" ht="13.2" hidden="false" customHeight="false" outlineLevel="0" collapsed="false">
      <c r="B168" s="290" t="s">
        <v>698</v>
      </c>
      <c r="E168" s="290" t="s">
        <v>742</v>
      </c>
      <c r="F168" s="146" t="n">
        <v>539.85</v>
      </c>
      <c r="G168" s="146"/>
      <c r="J168" s="39" t="n">
        <v>1440.65</v>
      </c>
    </row>
    <row r="169" customFormat="false" ht="13.2" hidden="false" customHeight="false" outlineLevel="0" collapsed="false">
      <c r="B169" s="290"/>
      <c r="E169" s="290" t="s">
        <v>742</v>
      </c>
      <c r="F169" s="146" t="n">
        <v>106.15</v>
      </c>
      <c r="G169" s="146"/>
      <c r="H169" s="38" t="s">
        <v>767</v>
      </c>
    </row>
    <row r="170" customFormat="false" ht="13.2" hidden="false" customHeight="false" outlineLevel="0" collapsed="false">
      <c r="B170" s="290"/>
      <c r="E170" s="290" t="s">
        <v>739</v>
      </c>
      <c r="F170" s="146" t="n">
        <v>151.93</v>
      </c>
      <c r="G170" s="146"/>
      <c r="H170" s="38" t="s">
        <v>767</v>
      </c>
    </row>
    <row r="171" customFormat="false" ht="13.2" hidden="false" customHeight="false" outlineLevel="0" collapsed="false">
      <c r="B171" s="290"/>
      <c r="E171" s="421" t="s">
        <v>740</v>
      </c>
      <c r="F171" s="425" t="n">
        <v>642.72</v>
      </c>
      <c r="G171" s="425"/>
      <c r="L171" s="39" t="n">
        <f aca="false">-F171</f>
        <v>-642.72</v>
      </c>
    </row>
    <row r="172" customFormat="false" ht="13.2" hidden="false" customHeight="false" outlineLevel="0" collapsed="false">
      <c r="B172" s="290"/>
      <c r="E172" s="290"/>
      <c r="F172" s="146" t="n">
        <f aca="false">SUM(F168:G171)</f>
        <v>1440.65</v>
      </c>
      <c r="G172" s="146"/>
    </row>
    <row r="173" customFormat="false" ht="7.8" hidden="false" customHeight="true" outlineLevel="0" collapsed="false">
      <c r="B173" s="290"/>
      <c r="E173" s="290"/>
      <c r="F173" s="435"/>
      <c r="G173" s="435"/>
    </row>
    <row r="174" customFormat="false" ht="13.2" hidden="false" customHeight="false" outlineLevel="0" collapsed="false">
      <c r="B174" s="290" t="s">
        <v>699</v>
      </c>
      <c r="E174" s="421" t="s">
        <v>690</v>
      </c>
      <c r="F174" s="436" t="s">
        <v>768</v>
      </c>
      <c r="G174" s="436"/>
      <c r="H174" s="436"/>
      <c r="J174" s="39" t="n">
        <v>5913.63</v>
      </c>
      <c r="L174" s="39" t="n">
        <f aca="false">-J174+F181</f>
        <v>-518.569999999999</v>
      </c>
    </row>
    <row r="175" customFormat="false" ht="13.2" hidden="false" customHeight="false" outlineLevel="0" collapsed="false">
      <c r="B175" s="290"/>
      <c r="E175" s="421" t="s">
        <v>694</v>
      </c>
      <c r="F175" s="436" t="s">
        <v>768</v>
      </c>
      <c r="G175" s="436"/>
      <c r="H175" s="436"/>
    </row>
    <row r="176" customFormat="false" ht="13.2" hidden="false" customHeight="false" outlineLevel="0" collapsed="false">
      <c r="B176" s="290"/>
      <c r="E176" s="421" t="s">
        <v>691</v>
      </c>
      <c r="F176" s="436" t="s">
        <v>768</v>
      </c>
      <c r="G176" s="436"/>
      <c r="H176" s="436"/>
    </row>
    <row r="177" customFormat="false" ht="13.2" hidden="false" customHeight="false" outlineLevel="0" collapsed="false">
      <c r="B177" s="290"/>
      <c r="E177" s="290" t="s">
        <v>741</v>
      </c>
      <c r="F177" s="146" t="n">
        <f aca="false">133.97+124.2+147.23+225.99</f>
        <v>631.39</v>
      </c>
      <c r="G177" s="146"/>
    </row>
    <row r="178" customFormat="false" ht="13.2" hidden="false" customHeight="false" outlineLevel="0" collapsed="false">
      <c r="B178" s="290"/>
      <c r="E178" s="290" t="s">
        <v>742</v>
      </c>
      <c r="F178" s="146" t="n">
        <v>1263.43</v>
      </c>
      <c r="G178" s="146"/>
    </row>
    <row r="179" customFormat="false" ht="13.2" hidden="false" customHeight="false" outlineLevel="0" collapsed="false">
      <c r="B179" s="290"/>
      <c r="E179" s="290" t="s">
        <v>739</v>
      </c>
      <c r="F179" s="146" t="n">
        <f aca="false">16710.63-14419.56</f>
        <v>2291.07</v>
      </c>
      <c r="G179" s="146"/>
    </row>
    <row r="180" customFormat="false" ht="13.2" hidden="false" customHeight="false" outlineLevel="0" collapsed="false">
      <c r="B180" s="290"/>
      <c r="E180" s="421" t="s">
        <v>740</v>
      </c>
      <c r="F180" s="425" t="n">
        <f aca="false">35.22+41.22+33.98+61.29+1009.62+27.84</f>
        <v>1209.17</v>
      </c>
      <c r="G180" s="425"/>
      <c r="L180" s="39" t="n">
        <f aca="false">-F180</f>
        <v>-1209.17</v>
      </c>
    </row>
    <row r="181" customFormat="false" ht="13.2" hidden="false" customHeight="false" outlineLevel="0" collapsed="false">
      <c r="B181" s="290"/>
      <c r="F181" s="146" t="n">
        <f aca="false">SUM(F174:G180)</f>
        <v>5395.06</v>
      </c>
      <c r="G181" s="146"/>
    </row>
    <row r="182" customFormat="false" ht="13.2" hidden="false" customHeight="false" outlineLevel="0" collapsed="false">
      <c r="B182" s="290"/>
      <c r="F182" s="55"/>
      <c r="G182" s="55"/>
      <c r="J182" s="52"/>
    </row>
    <row r="183" customFormat="false" ht="13.2" hidden="false" customHeight="false" outlineLevel="0" collapsed="false">
      <c r="B183" s="0"/>
      <c r="D183" s="290" t="s">
        <v>724</v>
      </c>
      <c r="J183" s="39" t="n">
        <f aca="false">SUM(J139:J174)</f>
        <v>22606.39</v>
      </c>
    </row>
    <row r="184" customFormat="false" ht="13.2" hidden="false" customHeight="false" outlineLevel="0" collapsed="false">
      <c r="B184" s="284" t="s">
        <v>726</v>
      </c>
    </row>
    <row r="185" customFormat="false" ht="13.2" hidden="false" customHeight="false" outlineLevel="0" collapsed="false">
      <c r="B185" s="0"/>
    </row>
    <row r="186" customFormat="false" ht="13.2" hidden="false" customHeight="false" outlineLevel="0" collapsed="false">
      <c r="B186" s="290" t="s">
        <v>769</v>
      </c>
      <c r="J186" s="39" t="n">
        <v>232</v>
      </c>
    </row>
    <row r="187" customFormat="false" ht="13.2" hidden="false" customHeight="false" outlineLevel="0" collapsed="false">
      <c r="B187" s="290" t="s">
        <v>770</v>
      </c>
      <c r="J187" s="437" t="n">
        <v>356.09</v>
      </c>
      <c r="L187" s="39" t="n">
        <f aca="false">-J187</f>
        <v>-356.09</v>
      </c>
    </row>
    <row r="188" customFormat="false" ht="13.2" hidden="false" customHeight="false" outlineLevel="0" collapsed="false">
      <c r="B188" s="290" t="s">
        <v>771</v>
      </c>
      <c r="J188" s="39" t="n">
        <v>1100</v>
      </c>
    </row>
    <row r="189" customFormat="false" ht="13.2" hidden="false" customHeight="false" outlineLevel="0" collapsed="false">
      <c r="B189" s="290" t="s">
        <v>772</v>
      </c>
      <c r="J189" s="39" t="n">
        <v>605</v>
      </c>
    </row>
    <row r="190" customFormat="false" ht="13.2" hidden="false" customHeight="false" outlineLevel="0" collapsed="false">
      <c r="B190" s="290" t="s">
        <v>773</v>
      </c>
      <c r="J190" s="39" t="n">
        <v>100.9</v>
      </c>
    </row>
    <row r="191" customFormat="false" ht="13.2" hidden="false" customHeight="false" outlineLevel="0" collapsed="false">
      <c r="B191" s="290" t="s">
        <v>774</v>
      </c>
      <c r="J191" s="39" t="n">
        <v>2500</v>
      </c>
    </row>
    <row r="192" customFormat="false" ht="13.2" hidden="false" customHeight="false" outlineLevel="0" collapsed="false">
      <c r="B192" s="290" t="s">
        <v>732</v>
      </c>
      <c r="J192" s="52" t="n">
        <v>1358.83</v>
      </c>
    </row>
    <row r="193" customFormat="false" ht="13.2" hidden="false" customHeight="false" outlineLevel="0" collapsed="false">
      <c r="B193" s="290" t="s">
        <v>735</v>
      </c>
      <c r="J193" s="39" t="n">
        <f aca="false">SUM(J186:J192)</f>
        <v>6252.82</v>
      </c>
    </row>
    <row r="194" customFormat="false" ht="13.2" hidden="false" customHeight="false" outlineLevel="0" collapsed="false">
      <c r="B194" s="0"/>
    </row>
    <row r="195" customFormat="false" ht="13.2" hidden="false" customHeight="false" outlineLevel="0" collapsed="false">
      <c r="D195" s="429" t="s">
        <v>736</v>
      </c>
      <c r="J195" s="39" t="n">
        <f aca="false">+J137+J183+J193</f>
        <v>177159.21</v>
      </c>
      <c r="K195" s="39" t="n">
        <f aca="false">+J195</f>
        <v>177159.21</v>
      </c>
    </row>
    <row r="197" customFormat="false" ht="13.2" hidden="false" customHeight="false" outlineLevel="0" collapsed="false">
      <c r="C197" s="37" t="s">
        <v>775</v>
      </c>
    </row>
    <row r="198" customFormat="false" ht="13.2" hidden="false" customHeight="false" outlineLevel="0" collapsed="false">
      <c r="D198" s="37" t="s">
        <v>776</v>
      </c>
      <c r="H198" s="98" t="n">
        <v>13912.5</v>
      </c>
      <c r="I198" s="98"/>
    </row>
    <row r="199" customFormat="false" ht="13.2" hidden="false" customHeight="false" outlineLevel="0" collapsed="false">
      <c r="D199" s="38"/>
      <c r="E199" s="37" t="s">
        <v>777</v>
      </c>
      <c r="H199" s="100" t="n">
        <f aca="false">16000-H198</f>
        <v>2087.5</v>
      </c>
      <c r="I199" s="100"/>
      <c r="L199" s="39" t="n">
        <f aca="false">-H199</f>
        <v>-2087.5</v>
      </c>
    </row>
    <row r="200" customFormat="false" ht="13.2" hidden="false" customHeight="false" outlineLevel="0" collapsed="false">
      <c r="D200" s="261"/>
      <c r="H200" s="98" t="n">
        <f aca="false">+H198+H199</f>
        <v>16000</v>
      </c>
      <c r="I200" s="98"/>
    </row>
    <row r="201" customFormat="false" ht="13.2" hidden="false" customHeight="false" outlineLevel="0" collapsed="false">
      <c r="D201" s="37" t="s">
        <v>778</v>
      </c>
      <c r="H201" s="39"/>
      <c r="I201" s="39"/>
    </row>
    <row r="202" customFormat="false" ht="13.2" hidden="false" customHeight="false" outlineLevel="0" collapsed="false">
      <c r="D202" s="37" t="s">
        <v>779</v>
      </c>
      <c r="H202" s="98" t="n">
        <v>1092.23</v>
      </c>
      <c r="I202" s="98"/>
    </row>
    <row r="203" customFormat="false" ht="13.2" hidden="false" customHeight="false" outlineLevel="0" collapsed="false">
      <c r="E203" s="261" t="s">
        <v>780</v>
      </c>
      <c r="H203" s="39"/>
      <c r="I203" s="39"/>
      <c r="L203" s="39" t="n">
        <f aca="false">-H202*0.5</f>
        <v>-546.115</v>
      </c>
    </row>
    <row r="204" customFormat="false" ht="13.2" hidden="false" customHeight="false" outlineLevel="0" collapsed="false">
      <c r="D204" s="37" t="s">
        <v>781</v>
      </c>
      <c r="H204" s="98" t="n">
        <v>808.79</v>
      </c>
      <c r="I204" s="98"/>
      <c r="J204" s="39" t="n">
        <f aca="false">+H204+H202+H200</f>
        <v>17901.02</v>
      </c>
      <c r="K204" s="39" t="n">
        <f aca="false">+J204</f>
        <v>17901.02</v>
      </c>
      <c r="L204" s="39" t="n">
        <f aca="false">-H204</f>
        <v>-808.79</v>
      </c>
    </row>
    <row r="205" customFormat="false" ht="13.2" hidden="false" customHeight="false" outlineLevel="0" collapsed="false">
      <c r="D205" s="261" t="s">
        <v>782</v>
      </c>
      <c r="H205" s="39"/>
      <c r="I205" s="39"/>
    </row>
    <row r="206" customFormat="false" ht="13.2" hidden="false" customHeight="false" outlineLevel="0" collapsed="false">
      <c r="D206" s="261" t="s">
        <v>783</v>
      </c>
      <c r="H206" s="39"/>
      <c r="I206" s="39"/>
    </row>
    <row r="207" customFormat="false" ht="13.2" hidden="false" customHeight="false" outlineLevel="0" collapsed="false">
      <c r="C207" s="37" t="s">
        <v>784</v>
      </c>
    </row>
    <row r="208" customFormat="false" ht="13.2" hidden="false" customHeight="false" outlineLevel="0" collapsed="false">
      <c r="D208" s="37" t="s">
        <v>785</v>
      </c>
      <c r="G208" s="37" t="s">
        <v>786</v>
      </c>
      <c r="H208" s="98" t="n">
        <v>1781.1</v>
      </c>
      <c r="I208" s="98"/>
      <c r="L208" s="39" t="n">
        <f aca="false">-H208</f>
        <v>-1781.1</v>
      </c>
    </row>
    <row r="209" customFormat="false" ht="13.2" hidden="false" customHeight="false" outlineLevel="0" collapsed="false">
      <c r="D209" s="261" t="s">
        <v>787</v>
      </c>
    </row>
    <row r="210" customFormat="false" ht="13.2" hidden="false" customHeight="false" outlineLevel="0" collapsed="false">
      <c r="D210" s="261" t="s">
        <v>788</v>
      </c>
    </row>
    <row r="211" customFormat="false" ht="13.2" hidden="false" customHeight="false" outlineLevel="0" collapsed="false">
      <c r="D211" s="37" t="s">
        <v>785</v>
      </c>
      <c r="G211" s="37" t="s">
        <v>789</v>
      </c>
      <c r="H211" s="98" t="n">
        <v>2655.55</v>
      </c>
      <c r="I211" s="98"/>
      <c r="L211" s="39" t="n">
        <f aca="false">-H211</f>
        <v>-2655.55</v>
      </c>
    </row>
    <row r="212" customFormat="false" ht="13.2" hidden="false" customHeight="false" outlineLevel="0" collapsed="false">
      <c r="D212" s="261" t="s">
        <v>787</v>
      </c>
    </row>
    <row r="213" customFormat="false" ht="13.2" hidden="false" customHeight="false" outlineLevel="0" collapsed="false">
      <c r="D213" s="261" t="s">
        <v>790</v>
      </c>
      <c r="J213" s="39" t="n">
        <v>4436.65</v>
      </c>
      <c r="K213" s="39" t="n">
        <f aca="false">+J213</f>
        <v>4436.65</v>
      </c>
    </row>
    <row r="214" customFormat="false" ht="7.5" hidden="false" customHeight="true" outlineLevel="0" collapsed="false">
      <c r="K214" s="52"/>
      <c r="L214" s="52"/>
      <c r="M214" s="52"/>
    </row>
    <row r="215" customFormat="false" ht="13.2" hidden="false" customHeight="false" outlineLevel="0" collapsed="false">
      <c r="K215" s="39" t="n">
        <f aca="false">SUM(K5:K214)</f>
        <v>334286.79</v>
      </c>
      <c r="L215" s="39" t="n">
        <f aca="false">SUM(L5:L214)</f>
        <v>-70795.265</v>
      </c>
      <c r="M215" s="39" t="n">
        <f aca="false">+K215+L215</f>
        <v>263491.525</v>
      </c>
    </row>
    <row r="216" customFormat="false" ht="13.2" hidden="false" customHeight="false" outlineLevel="0" collapsed="false">
      <c r="M216" s="39" t="n">
        <f aca="false">+M215-L215=K215</f>
        <v>1</v>
      </c>
    </row>
  </sheetData>
  <mergeCells count="80">
    <mergeCell ref="F25:G25"/>
    <mergeCell ref="F48:G48"/>
    <mergeCell ref="F51:G51"/>
    <mergeCell ref="F52:G52"/>
    <mergeCell ref="H52:J52"/>
    <mergeCell ref="F53:G53"/>
    <mergeCell ref="F57:G57"/>
    <mergeCell ref="F58:G58"/>
    <mergeCell ref="F59:G59"/>
    <mergeCell ref="H62:I62"/>
    <mergeCell ref="F63:G63"/>
    <mergeCell ref="F64:G64"/>
    <mergeCell ref="F65:G65"/>
    <mergeCell ref="F66:G66"/>
    <mergeCell ref="F69:G69"/>
    <mergeCell ref="F70:G70"/>
    <mergeCell ref="F71:G71"/>
    <mergeCell ref="C72:D72"/>
    <mergeCell ref="F72:G72"/>
    <mergeCell ref="C73:D73"/>
    <mergeCell ref="F73:G73"/>
    <mergeCell ref="C74:D74"/>
    <mergeCell ref="F74:G74"/>
    <mergeCell ref="H75:I75"/>
    <mergeCell ref="C76:D76"/>
    <mergeCell ref="F76:G76"/>
    <mergeCell ref="C77:D77"/>
    <mergeCell ref="F77:G77"/>
    <mergeCell ref="C78:D78"/>
    <mergeCell ref="F78:G78"/>
    <mergeCell ref="F81:G81"/>
    <mergeCell ref="H81:I81"/>
    <mergeCell ref="F119:G119"/>
    <mergeCell ref="F139:G139"/>
    <mergeCell ref="F140:G140"/>
    <mergeCell ref="F141:G141"/>
    <mergeCell ref="F142:G142"/>
    <mergeCell ref="F143:G143"/>
    <mergeCell ref="F144:G144"/>
    <mergeCell ref="F145:G145"/>
    <mergeCell ref="F146:G146"/>
    <mergeCell ref="F147:G147"/>
    <mergeCell ref="F148:G148"/>
    <mergeCell ref="F149:G149"/>
    <mergeCell ref="F150:G150"/>
    <mergeCell ref="F151:G151"/>
    <mergeCell ref="H151:K152"/>
    <mergeCell ref="F152:G152"/>
    <mergeCell ref="F153:G153"/>
    <mergeCell ref="H155:I155"/>
    <mergeCell ref="F158:G158"/>
    <mergeCell ref="F159:G159"/>
    <mergeCell ref="F160:G160"/>
    <mergeCell ref="F161:G161"/>
    <mergeCell ref="F162:G162"/>
    <mergeCell ref="F163:G163"/>
    <mergeCell ref="F164:G164"/>
    <mergeCell ref="F165:G165"/>
    <mergeCell ref="F166:G166"/>
    <mergeCell ref="F167:G167"/>
    <mergeCell ref="F168:G168"/>
    <mergeCell ref="F169:G169"/>
    <mergeCell ref="F170:G170"/>
    <mergeCell ref="F171:G171"/>
    <mergeCell ref="F172:G172"/>
    <mergeCell ref="F174:H174"/>
    <mergeCell ref="F175:H175"/>
    <mergeCell ref="F176:H176"/>
    <mergeCell ref="F177:G177"/>
    <mergeCell ref="F178:G178"/>
    <mergeCell ref="F179:G179"/>
    <mergeCell ref="F180:G180"/>
    <mergeCell ref="F181:G181"/>
    <mergeCell ref="H198:I198"/>
    <mergeCell ref="H199:I199"/>
    <mergeCell ref="H200:I200"/>
    <mergeCell ref="H202:I202"/>
    <mergeCell ref="H204:I204"/>
    <mergeCell ref="H208:I208"/>
    <mergeCell ref="H211:I211"/>
  </mergeCells>
  <printOptions headings="false" gridLines="false" gridLinesSet="true" horizontalCentered="false" verticalCentered="false"/>
  <pageMargins left="0.170138888888889" right="0.2" top="0.479861111111111" bottom="0.490277777777778" header="0.2" footer="0.25"/>
  <pageSetup paperSize="1" scale="100" fitToWidth="1" fitToHeight="1" pageOrder="downThenOver" orientation="landscape" blackAndWhite="false" draft="false" cellComments="none" horizontalDpi="300" verticalDpi="300" copies="1"/>
  <headerFooter differentFirst="false" differentOddEven="false">
    <oddHeader>&amp;L&amp;"Arial,Bold"&amp;12Doyle Power, LCC - Principal Insured&amp;RThru: &amp;D
Page &amp;P</oddHeader>
    <oddFooter>&amp;L&amp;F&amp;R&amp;A</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5"/>
  <sheetViews>
    <sheetView showFormulas="false" showGridLines="true" showRowColHeaders="true" showZeros="true" rightToLeft="false" tabSelected="false" showOutlineSymbols="true" defaultGridColor="true" view="pageBreakPreview" topLeftCell="A1" colorId="64" zoomScale="75" zoomScaleNormal="75" zoomScalePageLayoutView="75" workbookViewId="0">
      <selection pane="topLeft" activeCell="A1" activeCellId="0" sqref="A1"/>
    </sheetView>
  </sheetViews>
  <sheetFormatPr defaultColWidth="10.328125" defaultRowHeight="13.2" customHeight="true" zeroHeight="false" outlineLevelRow="0" outlineLevelCol="0"/>
  <cols>
    <col collapsed="false" customWidth="true" hidden="false" outlineLevel="0" max="1" min="1" style="37" width="5.99"/>
    <col collapsed="false" customWidth="true" hidden="false" outlineLevel="0" max="2" min="2" style="37" width="6.43"/>
    <col collapsed="false" customWidth="true" hidden="false" outlineLevel="0" max="4" min="3" style="37" width="5.99"/>
    <col collapsed="false" customWidth="true" hidden="false" outlineLevel="0" max="5" min="5" style="37" width="9.55"/>
    <col collapsed="false" customWidth="true" hidden="false" outlineLevel="0" max="6" min="6" style="37" width="9.43"/>
    <col collapsed="false" customWidth="true" hidden="false" outlineLevel="0" max="7" min="7" style="37" width="10.99"/>
    <col collapsed="false" customWidth="true" hidden="false" outlineLevel="0" max="8" min="8" style="39" width="11.66"/>
    <col collapsed="false" customWidth="true" hidden="false" outlineLevel="0" max="9" min="9" style="38" width="13.43"/>
    <col collapsed="false" customWidth="true" hidden="false" outlineLevel="0" max="10" min="10" style="39" width="14.77"/>
    <col collapsed="false" customWidth="true" hidden="false" outlineLevel="0" max="11" min="11" style="39" width="18.33"/>
    <col collapsed="false" customWidth="true" hidden="false" outlineLevel="0" max="12" min="12" style="39" width="15.1"/>
    <col collapsed="false" customWidth="false" hidden="false" outlineLevel="0" max="257" min="13" style="38" width="10.32"/>
  </cols>
  <sheetData>
    <row r="1" customFormat="false" ht="15.6" hidden="false" customHeight="false" outlineLevel="0" collapsed="false">
      <c r="C1" s="41" t="s">
        <v>99</v>
      </c>
      <c r="D1" s="41"/>
      <c r="E1" s="41"/>
      <c r="F1" s="41"/>
      <c r="G1" s="41"/>
      <c r="I1" s="42" t="s">
        <v>791</v>
      </c>
    </row>
    <row r="2" customFormat="false" ht="13.2" hidden="false" customHeight="false" outlineLevel="0" collapsed="false">
      <c r="C2" s="38" t="s">
        <v>25</v>
      </c>
      <c r="D2" s="38"/>
      <c r="E2" s="38"/>
      <c r="F2" s="38"/>
      <c r="G2" s="38"/>
    </row>
    <row r="3" customFormat="false" ht="18.6" hidden="false" customHeight="true" outlineLevel="0" collapsed="false">
      <c r="A3" s="43" t="s">
        <v>6</v>
      </c>
      <c r="B3" s="43"/>
      <c r="C3" s="43" t="s">
        <v>26</v>
      </c>
      <c r="D3" s="43"/>
      <c r="E3" s="43"/>
      <c r="F3" s="43"/>
      <c r="H3" s="416"/>
      <c r="I3" s="41"/>
      <c r="J3" s="45" t="s">
        <v>28</v>
      </c>
      <c r="K3" s="45" t="s">
        <v>29</v>
      </c>
      <c r="L3" s="45" t="s">
        <v>30</v>
      </c>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c r="IR3" s="41"/>
      <c r="IS3" s="41"/>
      <c r="IT3" s="41"/>
      <c r="IU3" s="41"/>
      <c r="IV3" s="41"/>
      <c r="IW3" s="41"/>
    </row>
    <row r="4" customFormat="false" ht="5.4" hidden="false" customHeight="true" outlineLevel="0" collapsed="false"/>
    <row r="5" customFormat="false" ht="13.2" hidden="false" customHeight="false" outlineLevel="0" collapsed="false">
      <c r="A5" s="47" t="n">
        <v>11</v>
      </c>
      <c r="B5" s="37" t="s">
        <v>61</v>
      </c>
    </row>
    <row r="6" customFormat="false" ht="13.2" hidden="false" customHeight="false" outlineLevel="0" collapsed="false">
      <c r="A6" s="47"/>
      <c r="C6" s="48" t="s">
        <v>63</v>
      </c>
    </row>
    <row r="7" customFormat="false" ht="13.2" hidden="false" customHeight="false" outlineLevel="0" collapsed="false">
      <c r="A7" s="47"/>
      <c r="C7" s="37" t="s">
        <v>792</v>
      </c>
      <c r="D7" s="38"/>
      <c r="E7" s="37" t="s">
        <v>56</v>
      </c>
      <c r="H7" s="39" t="n">
        <v>15000</v>
      </c>
      <c r="K7" s="39" t="n">
        <f aca="false">+H7*-0.5</f>
        <v>-7500</v>
      </c>
    </row>
    <row r="8" customFormat="false" ht="13.2" hidden="false" customHeight="false" outlineLevel="0" collapsed="false">
      <c r="A8" s="47"/>
      <c r="D8" s="37" t="s">
        <v>793</v>
      </c>
      <c r="E8" s="38"/>
      <c r="H8" s="77" t="n">
        <v>4096.68</v>
      </c>
      <c r="K8" s="39" t="n">
        <v>0</v>
      </c>
    </row>
    <row r="9" customFormat="false" ht="13.2" hidden="false" customHeight="false" outlineLevel="0" collapsed="false">
      <c r="A9" s="47"/>
      <c r="D9" s="38" t="s">
        <v>794</v>
      </c>
      <c r="H9" s="39" t="n">
        <f aca="false">+H7+H8</f>
        <v>19096.68</v>
      </c>
      <c r="J9" s="39" t="n">
        <f aca="false">+H9</f>
        <v>19096.68</v>
      </c>
      <c r="L9" s="39" t="n">
        <f aca="false">+J9+K7+K8</f>
        <v>11596.68</v>
      </c>
    </row>
    <row r="10" customFormat="false" ht="13.2" hidden="false" customHeight="false" outlineLevel="0" collapsed="false">
      <c r="A10" s="47"/>
      <c r="D10" s="38"/>
    </row>
    <row r="11" customFormat="false" ht="13.2" hidden="false" customHeight="false" outlineLevel="0" collapsed="false">
      <c r="A11" s="47"/>
      <c r="C11" s="37" t="s">
        <v>795</v>
      </c>
      <c r="D11" s="38"/>
      <c r="E11" s="37" t="s">
        <v>56</v>
      </c>
      <c r="H11" s="39" t="n">
        <v>30000</v>
      </c>
      <c r="K11" s="39" t="n">
        <f aca="false">+H11*-0.5</f>
        <v>-15000</v>
      </c>
    </row>
    <row r="12" customFormat="false" ht="13.2" hidden="false" customHeight="false" outlineLevel="0" collapsed="false">
      <c r="A12" s="47"/>
      <c r="D12" s="37" t="s">
        <v>796</v>
      </c>
      <c r="H12" s="77" t="n">
        <v>3056.42</v>
      </c>
      <c r="K12" s="39" t="n">
        <v>0</v>
      </c>
    </row>
    <row r="13" customFormat="false" ht="13.2" hidden="false" customHeight="false" outlineLevel="0" collapsed="false">
      <c r="A13" s="47"/>
      <c r="D13" s="38" t="s">
        <v>794</v>
      </c>
      <c r="H13" s="39" t="n">
        <f aca="false">+H11+H12</f>
        <v>33056.42</v>
      </c>
      <c r="J13" s="52" t="n">
        <f aca="false">H13</f>
        <v>33056.42</v>
      </c>
      <c r="K13" s="52"/>
      <c r="L13" s="52" t="n">
        <f aca="false">+J13+K11+K12</f>
        <v>18056.42</v>
      </c>
    </row>
    <row r="14" customFormat="false" ht="13.2" hidden="false" customHeight="true" outlineLevel="0" collapsed="false">
      <c r="A14" s="47"/>
      <c r="B14" s="433" t="s">
        <v>797</v>
      </c>
      <c r="C14" s="433"/>
      <c r="D14" s="433"/>
      <c r="E14" s="433"/>
      <c r="F14" s="433"/>
      <c r="G14" s="433"/>
      <c r="H14" s="433"/>
      <c r="I14" s="433"/>
      <c r="J14" s="39" t="n">
        <f aca="false">SUM(J6:J13)</f>
        <v>52153.1</v>
      </c>
      <c r="K14" s="39" t="n">
        <f aca="false">SUM(K6:K13)</f>
        <v>-22500</v>
      </c>
      <c r="L14" s="39" t="n">
        <f aca="false">SUM(L6:L13)</f>
        <v>29653.1</v>
      </c>
    </row>
    <row r="15" customFormat="false" ht="14.4" hidden="false" customHeight="true" outlineLevel="0" collapsed="false">
      <c r="A15" s="47"/>
      <c r="B15" s="433"/>
      <c r="C15" s="433"/>
      <c r="D15" s="433"/>
      <c r="E15" s="433"/>
      <c r="F15" s="433"/>
      <c r="G15" s="433"/>
      <c r="H15" s="433"/>
      <c r="I15" s="433"/>
    </row>
    <row r="16" customFormat="false" ht="13.2" hidden="false" customHeight="false" outlineLevel="0" collapsed="false">
      <c r="A16" s="47" t="n">
        <v>12</v>
      </c>
      <c r="B16" s="37" t="s">
        <v>64</v>
      </c>
      <c r="C16" s="48"/>
      <c r="J16" s="52"/>
      <c r="K16" s="52"/>
      <c r="L16" s="52"/>
    </row>
    <row r="17" customFormat="false" ht="13.2" hidden="false" customHeight="false" outlineLevel="0" collapsed="false">
      <c r="A17" s="47"/>
      <c r="C17" s="49" t="s">
        <v>65</v>
      </c>
      <c r="J17" s="39" t="n">
        <v>1028</v>
      </c>
      <c r="K17" s="39" t="n">
        <v>0</v>
      </c>
      <c r="L17" s="39" t="n">
        <f aca="false">+J17+K17</f>
        <v>1028</v>
      </c>
    </row>
    <row r="18" customFormat="false" ht="13.2" hidden="false" customHeight="false" outlineLevel="0" collapsed="false">
      <c r="A18" s="47" t="n">
        <v>13</v>
      </c>
      <c r="B18" s="37" t="s">
        <v>66</v>
      </c>
      <c r="E18" s="49" t="s">
        <v>67</v>
      </c>
    </row>
    <row r="19" customFormat="false" ht="13.2" hidden="false" customHeight="false" outlineLevel="0" collapsed="false">
      <c r="A19" s="47"/>
      <c r="B19" s="438" t="s">
        <v>798</v>
      </c>
      <c r="C19" s="74"/>
      <c r="E19" s="74"/>
      <c r="F19" s="74" t="s">
        <v>799</v>
      </c>
      <c r="G19" s="80"/>
      <c r="H19" s="80"/>
      <c r="I19" s="74"/>
    </row>
    <row r="20" customFormat="false" ht="13.2" hidden="false" customHeight="false" outlineLevel="0" collapsed="false">
      <c r="A20" s="47"/>
      <c r="B20" s="439" t="s">
        <v>800</v>
      </c>
      <c r="C20" s="439" t="s">
        <v>190</v>
      </c>
      <c r="D20" s="439" t="s">
        <v>191</v>
      </c>
      <c r="E20" s="440" t="s">
        <v>801</v>
      </c>
      <c r="F20" s="440" t="s">
        <v>802</v>
      </c>
      <c r="G20" s="76" t="s">
        <v>803</v>
      </c>
      <c r="H20" s="76" t="s">
        <v>804</v>
      </c>
      <c r="I20" s="440" t="s">
        <v>805</v>
      </c>
    </row>
    <row r="21" customFormat="false" ht="13.2" hidden="false" customHeight="false" outlineLevel="0" collapsed="false">
      <c r="A21" s="47"/>
      <c r="B21" s="73" t="s">
        <v>806</v>
      </c>
      <c r="C21" s="73" t="n">
        <v>40</v>
      </c>
      <c r="D21" s="73" t="n">
        <v>30</v>
      </c>
      <c r="E21" s="80" t="n">
        <f aca="false">85*C21</f>
        <v>3400</v>
      </c>
      <c r="F21" s="80" t="n">
        <f aca="false">+D21*103</f>
        <v>3090</v>
      </c>
      <c r="G21" s="75" t="n">
        <v>6490</v>
      </c>
      <c r="H21" s="75" t="n">
        <v>1687.33</v>
      </c>
      <c r="I21" s="80" t="n">
        <f aca="false">+G21+H21</f>
        <v>8177.33</v>
      </c>
      <c r="K21" s="39" t="n">
        <f aca="false">+(G21+H21)*-0.5</f>
        <v>-4088.665</v>
      </c>
    </row>
    <row r="22" customFormat="false" ht="13.2" hidden="false" customHeight="false" outlineLevel="0" collapsed="false">
      <c r="A22" s="47"/>
      <c r="B22" s="73" t="s">
        <v>807</v>
      </c>
      <c r="C22" s="73" t="n">
        <v>40</v>
      </c>
      <c r="D22" s="73" t="n">
        <v>34</v>
      </c>
      <c r="E22" s="80" t="n">
        <f aca="false">85*C22</f>
        <v>3400</v>
      </c>
      <c r="F22" s="80" t="n">
        <f aca="false">+D22*103</f>
        <v>3502</v>
      </c>
      <c r="G22" s="75" t="n">
        <v>6902</v>
      </c>
      <c r="H22" s="75" t="n">
        <v>576.13</v>
      </c>
      <c r="I22" s="80" t="n">
        <f aca="false">+G22+H22</f>
        <v>7478.13</v>
      </c>
      <c r="K22" s="39" t="n">
        <f aca="false">+(G22+H22)*-0.5</f>
        <v>-3739.065</v>
      </c>
    </row>
    <row r="23" customFormat="false" ht="13.2" hidden="false" customHeight="false" outlineLevel="0" collapsed="false">
      <c r="A23" s="47"/>
      <c r="B23" s="438" t="s">
        <v>808</v>
      </c>
      <c r="C23" s="73" t="n">
        <v>40</v>
      </c>
      <c r="D23" s="73" t="n">
        <v>30</v>
      </c>
      <c r="E23" s="80" t="n">
        <f aca="false">85*C23</f>
        <v>3400</v>
      </c>
      <c r="F23" s="80" t="n">
        <f aca="false">+D23*103</f>
        <v>3090</v>
      </c>
      <c r="G23" s="75" t="n">
        <v>6490</v>
      </c>
      <c r="H23" s="75" t="n">
        <v>519.79</v>
      </c>
      <c r="I23" s="80" t="n">
        <f aca="false">+G23+H23</f>
        <v>7009.79</v>
      </c>
      <c r="K23" s="39" t="n">
        <f aca="false">+(G23+H23)*-0.5</f>
        <v>-3504.895</v>
      </c>
    </row>
    <row r="24" customFormat="false" ht="13.2" hidden="false" customHeight="false" outlineLevel="0" collapsed="false">
      <c r="A24" s="47"/>
      <c r="B24" s="73" t="s">
        <v>809</v>
      </c>
      <c r="C24" s="73" t="n">
        <v>40</v>
      </c>
      <c r="D24" s="73" t="n">
        <v>31</v>
      </c>
      <c r="E24" s="80" t="n">
        <f aca="false">85*C24</f>
        <v>3400</v>
      </c>
      <c r="F24" s="80" t="n">
        <f aca="false">+D24*103</f>
        <v>3193</v>
      </c>
      <c r="G24" s="75" t="n">
        <v>6593</v>
      </c>
      <c r="H24" s="75" t="n">
        <v>2899.72</v>
      </c>
      <c r="I24" s="80" t="n">
        <f aca="false">+G24+H24</f>
        <v>9492.72</v>
      </c>
      <c r="K24" s="39" t="n">
        <f aca="false">+(G24+H24)*-0.5</f>
        <v>-4746.36</v>
      </c>
    </row>
    <row r="25" customFormat="false" ht="13.2" hidden="false" customHeight="false" outlineLevel="0" collapsed="false">
      <c r="A25" s="47"/>
      <c r="B25" s="73" t="s">
        <v>810</v>
      </c>
      <c r="C25" s="73" t="n">
        <v>40</v>
      </c>
      <c r="D25" s="73" t="n">
        <v>46</v>
      </c>
      <c r="E25" s="80" t="n">
        <f aca="false">85*C25</f>
        <v>3400</v>
      </c>
      <c r="F25" s="80" t="n">
        <f aca="false">+D25*103</f>
        <v>4738</v>
      </c>
      <c r="G25" s="75" t="n">
        <v>8138</v>
      </c>
      <c r="H25" s="75" t="n">
        <v>373.33</v>
      </c>
      <c r="I25" s="80" t="n">
        <f aca="false">+G25+H25</f>
        <v>8511.33</v>
      </c>
      <c r="K25" s="39" t="n">
        <f aca="false">+(G25+H25)*-0.5</f>
        <v>-4255.665</v>
      </c>
    </row>
    <row r="26" customFormat="false" ht="13.2" hidden="false" customHeight="false" outlineLevel="0" collapsed="false">
      <c r="A26" s="47"/>
      <c r="B26" s="73" t="s">
        <v>811</v>
      </c>
      <c r="C26" s="73" t="n">
        <v>40</v>
      </c>
      <c r="D26" s="73" t="n">
        <v>14</v>
      </c>
      <c r="E26" s="80" t="n">
        <f aca="false">85*C26</f>
        <v>3400</v>
      </c>
      <c r="F26" s="80" t="n">
        <f aca="false">+D26*103</f>
        <v>1442</v>
      </c>
      <c r="G26" s="75" t="n">
        <v>4842</v>
      </c>
      <c r="H26" s="75" t="n">
        <v>5591.12</v>
      </c>
      <c r="I26" s="80" t="n">
        <f aca="false">+G26+H26</f>
        <v>10433.12</v>
      </c>
      <c r="K26" s="39" t="n">
        <f aca="false">+(G26+H26)*-0.5</f>
        <v>-5216.56</v>
      </c>
    </row>
    <row r="27" customFormat="false" ht="13.2" hidden="false" customHeight="false" outlineLevel="0" collapsed="false">
      <c r="A27" s="47"/>
      <c r="B27" s="73" t="s">
        <v>812</v>
      </c>
      <c r="C27" s="73" t="n">
        <v>40</v>
      </c>
      <c r="D27" s="73" t="n">
        <v>0</v>
      </c>
      <c r="E27" s="80" t="n">
        <f aca="false">85*C27</f>
        <v>3400</v>
      </c>
      <c r="F27" s="80" t="n">
        <f aca="false">+D27*103</f>
        <v>0</v>
      </c>
      <c r="G27" s="75" t="n">
        <v>3920</v>
      </c>
      <c r="H27" s="75" t="n">
        <v>223.91</v>
      </c>
      <c r="I27" s="80" t="n">
        <f aca="false">+G27+H27</f>
        <v>4143.91</v>
      </c>
      <c r="J27" s="39" t="s">
        <v>128</v>
      </c>
      <c r="K27" s="39" t="n">
        <f aca="false">+H27*-0.5</f>
        <v>-111.955</v>
      </c>
    </row>
    <row r="28" customFormat="false" ht="13.2" hidden="false" customHeight="false" outlineLevel="0" collapsed="false">
      <c r="A28" s="47"/>
      <c r="B28" s="73" t="s">
        <v>813</v>
      </c>
      <c r="C28" s="73" t="n">
        <v>40</v>
      </c>
      <c r="D28" s="73" t="n">
        <v>0</v>
      </c>
      <c r="E28" s="80" t="n">
        <f aca="false">85*C28</f>
        <v>3400</v>
      </c>
      <c r="F28" s="80" t="n">
        <f aca="false">+D28*103</f>
        <v>0</v>
      </c>
      <c r="G28" s="75" t="n">
        <v>3920</v>
      </c>
      <c r="H28" s="75" t="n">
        <v>297.3</v>
      </c>
      <c r="I28" s="80" t="n">
        <f aca="false">+G28+H28</f>
        <v>4217.3</v>
      </c>
      <c r="K28" s="39" t="n">
        <f aca="false">+H28*-0.5</f>
        <v>-148.65</v>
      </c>
    </row>
    <row r="29" customFormat="false" ht="13.2" hidden="false" customHeight="false" outlineLevel="0" collapsed="false">
      <c r="A29" s="47"/>
      <c r="B29" s="73" t="s">
        <v>814</v>
      </c>
      <c r="C29" s="73" t="n">
        <v>40</v>
      </c>
      <c r="D29" s="73" t="n">
        <v>0</v>
      </c>
      <c r="E29" s="80" t="n">
        <f aca="false">85*C29</f>
        <v>3400</v>
      </c>
      <c r="F29" s="80" t="n">
        <f aca="false">+D29*103</f>
        <v>0</v>
      </c>
      <c r="G29" s="75" t="n">
        <v>3920</v>
      </c>
      <c r="H29" s="75" t="n">
        <v>287.6</v>
      </c>
      <c r="I29" s="80" t="n">
        <f aca="false">+G29+H29</f>
        <v>4207.6</v>
      </c>
      <c r="K29" s="39" t="n">
        <f aca="false">+H29*-0.5</f>
        <v>-143.8</v>
      </c>
    </row>
    <row r="30" customFormat="false" ht="13.2" hidden="false" customHeight="false" outlineLevel="0" collapsed="false">
      <c r="A30" s="47"/>
      <c r="B30" s="73" t="s">
        <v>815</v>
      </c>
      <c r="C30" s="73" t="n">
        <v>40</v>
      </c>
      <c r="D30" s="73" t="n">
        <v>0</v>
      </c>
      <c r="E30" s="80" t="n">
        <f aca="false">85*C30</f>
        <v>3400</v>
      </c>
      <c r="F30" s="80" t="n">
        <f aca="false">+D30*103</f>
        <v>0</v>
      </c>
      <c r="G30" s="75" t="n">
        <v>3920</v>
      </c>
      <c r="H30" s="75" t="n">
        <v>1319.09</v>
      </c>
      <c r="I30" s="80" t="n">
        <f aca="false">+G30+H30</f>
        <v>5239.09</v>
      </c>
      <c r="K30" s="39" t="n">
        <f aca="false">+H30*-0.5</f>
        <v>-659.545</v>
      </c>
    </row>
    <row r="31" customFormat="false" ht="13.2" hidden="false" customHeight="false" outlineLevel="0" collapsed="false">
      <c r="A31" s="47"/>
      <c r="B31" s="73" t="s">
        <v>816</v>
      </c>
      <c r="C31" s="73" t="n">
        <v>40</v>
      </c>
      <c r="D31" s="73" t="n">
        <v>0</v>
      </c>
      <c r="E31" s="80" t="n">
        <f aca="false">85*C31</f>
        <v>3400</v>
      </c>
      <c r="F31" s="80" t="n">
        <f aca="false">+D31*103</f>
        <v>0</v>
      </c>
      <c r="G31" s="75" t="n">
        <v>3920</v>
      </c>
      <c r="H31" s="75" t="n">
        <v>3907.84</v>
      </c>
      <c r="I31" s="80" t="n">
        <f aca="false">+G31+H31</f>
        <v>7827.84</v>
      </c>
      <c r="K31" s="39" t="n">
        <f aca="false">+H31*-0.5</f>
        <v>-1953.92</v>
      </c>
    </row>
    <row r="32" customFormat="false" ht="13.2" hidden="false" customHeight="false" outlineLevel="0" collapsed="false">
      <c r="A32" s="47"/>
      <c r="B32" s="73" t="s">
        <v>817</v>
      </c>
      <c r="C32" s="73" t="n">
        <v>40</v>
      </c>
      <c r="D32" s="73" t="n">
        <v>0</v>
      </c>
      <c r="E32" s="80" t="n">
        <f aca="false">85*C32</f>
        <v>3400</v>
      </c>
      <c r="F32" s="80" t="n">
        <f aca="false">+D32*103</f>
        <v>0</v>
      </c>
      <c r="G32" s="75" t="n">
        <v>3920</v>
      </c>
      <c r="H32" s="75" t="n">
        <v>363</v>
      </c>
      <c r="I32" s="80" t="n">
        <f aca="false">+G32+H32</f>
        <v>4283</v>
      </c>
      <c r="K32" s="39" t="n">
        <f aca="false">+H32*-0.5</f>
        <v>-181.5</v>
      </c>
    </row>
    <row r="33" customFormat="false" ht="13.2" hidden="false" customHeight="false" outlineLevel="0" collapsed="false">
      <c r="A33" s="47"/>
      <c r="B33" s="73" t="s">
        <v>818</v>
      </c>
      <c r="C33" s="73" t="n">
        <v>40</v>
      </c>
      <c r="D33" s="73" t="n">
        <v>0</v>
      </c>
      <c r="E33" s="80" t="n">
        <f aca="false">85*C33</f>
        <v>3400</v>
      </c>
      <c r="F33" s="80" t="n">
        <f aca="false">+D33*103</f>
        <v>0</v>
      </c>
      <c r="G33" s="75" t="n">
        <v>3920</v>
      </c>
      <c r="H33" s="75" t="n">
        <v>95.09</v>
      </c>
      <c r="I33" s="80" t="n">
        <f aca="false">+G33+H33</f>
        <v>4015.09</v>
      </c>
      <c r="K33" s="39" t="n">
        <f aca="false">+H33*-0.5</f>
        <v>-47.545</v>
      </c>
    </row>
    <row r="34" customFormat="false" ht="13.2" hidden="false" customHeight="false" outlineLevel="0" collapsed="false">
      <c r="A34" s="47"/>
      <c r="B34" s="73" t="s">
        <v>819</v>
      </c>
      <c r="C34" s="73" t="n">
        <v>40</v>
      </c>
      <c r="D34" s="73" t="n">
        <v>0</v>
      </c>
      <c r="E34" s="80" t="n">
        <f aca="false">85*C34</f>
        <v>3400</v>
      </c>
      <c r="F34" s="80" t="n">
        <f aca="false">+D34*103</f>
        <v>0</v>
      </c>
      <c r="G34" s="75" t="n">
        <v>3920</v>
      </c>
      <c r="H34" s="75" t="n">
        <v>1056.05</v>
      </c>
      <c r="I34" s="80" t="n">
        <f aca="false">+G34+H34</f>
        <v>4976.05</v>
      </c>
      <c r="K34" s="39" t="n">
        <f aca="false">+H34*-0.5</f>
        <v>-528.025</v>
      </c>
    </row>
    <row r="35" customFormat="false" ht="13.2" hidden="false" customHeight="false" outlineLevel="0" collapsed="false">
      <c r="A35" s="47"/>
      <c r="B35" s="73" t="s">
        <v>820</v>
      </c>
      <c r="C35" s="73" t="n">
        <v>40</v>
      </c>
      <c r="D35" s="73" t="n">
        <v>0</v>
      </c>
      <c r="E35" s="80" t="n">
        <f aca="false">85*C35</f>
        <v>3400</v>
      </c>
      <c r="F35" s="80" t="n">
        <f aca="false">+D35*103</f>
        <v>0</v>
      </c>
      <c r="G35" s="75" t="n">
        <v>3920</v>
      </c>
      <c r="H35" s="75" t="n">
        <v>1052.97</v>
      </c>
      <c r="I35" s="80" t="n">
        <f aca="false">+G35+H35</f>
        <v>4972.97</v>
      </c>
      <c r="K35" s="39" t="n">
        <f aca="false">+H35*-0.5</f>
        <v>-526.485</v>
      </c>
    </row>
    <row r="36" customFormat="false" ht="13.2" hidden="false" customHeight="false" outlineLevel="0" collapsed="false">
      <c r="A36" s="47"/>
      <c r="B36" s="73" t="s">
        <v>821</v>
      </c>
      <c r="C36" s="439" t="n">
        <v>40</v>
      </c>
      <c r="D36" s="439" t="n">
        <v>0</v>
      </c>
      <c r="E36" s="248" t="n">
        <f aca="false">85*C36</f>
        <v>3400</v>
      </c>
      <c r="F36" s="248" t="n">
        <f aca="false">+D36*103</f>
        <v>0</v>
      </c>
      <c r="G36" s="76" t="n">
        <v>3920</v>
      </c>
      <c r="H36" s="76" t="n">
        <v>890.29</v>
      </c>
      <c r="I36" s="248" t="n">
        <f aca="false">+G36+H36</f>
        <v>4810.29</v>
      </c>
      <c r="K36" s="39" t="n">
        <f aca="false">+H36*-0.5</f>
        <v>-445.145</v>
      </c>
    </row>
    <row r="37" customFormat="false" ht="26.4" hidden="false" customHeight="false" outlineLevel="0" collapsed="false">
      <c r="A37" s="47"/>
      <c r="B37" s="441" t="s">
        <v>822</v>
      </c>
      <c r="C37" s="62" t="n">
        <f aca="false">SUM(C21:C36)</f>
        <v>640</v>
      </c>
      <c r="D37" s="62" t="n">
        <f aca="false">SUM(D21:D36)</f>
        <v>185</v>
      </c>
      <c r="E37" s="80" t="n">
        <f aca="false">SUM(E21:E36)</f>
        <v>54400</v>
      </c>
      <c r="F37" s="80" t="n">
        <f aca="false">SUM(F21:F36)</f>
        <v>19055</v>
      </c>
      <c r="G37" s="75" t="n">
        <f aca="false">SUM(G21:G36)</f>
        <v>78655</v>
      </c>
      <c r="H37" s="80" t="n">
        <f aca="false">SUM(H21:H36)</f>
        <v>21140.56</v>
      </c>
      <c r="I37" s="80" t="n">
        <f aca="false">SUM(I21:I36)</f>
        <v>99795.56</v>
      </c>
    </row>
    <row r="38" customFormat="false" ht="13.2" hidden="false" customHeight="false" outlineLevel="0" collapsed="false">
      <c r="A38" s="47"/>
      <c r="B38" s="280" t="s">
        <v>823</v>
      </c>
      <c r="C38" s="62"/>
      <c r="D38" s="62"/>
      <c r="E38" s="80"/>
      <c r="F38" s="80"/>
      <c r="G38" s="75"/>
      <c r="H38" s="80"/>
      <c r="I38" s="80"/>
    </row>
    <row r="39" customFormat="false" ht="13.2" hidden="false" customHeight="false" outlineLevel="0" collapsed="false">
      <c r="A39" s="47"/>
      <c r="B39" s="73"/>
      <c r="C39" s="62"/>
      <c r="D39" s="62"/>
      <c r="E39" s="80"/>
      <c r="F39" s="80"/>
      <c r="G39" s="75"/>
      <c r="H39" s="80"/>
      <c r="I39" s="80"/>
    </row>
    <row r="40" customFormat="false" ht="13.2" hidden="false" customHeight="false" outlineLevel="0" collapsed="false">
      <c r="A40" s="47"/>
      <c r="B40" s="73"/>
      <c r="C40" s="62"/>
      <c r="D40" s="62"/>
      <c r="E40" s="80"/>
      <c r="F40" s="80"/>
      <c r="G40" s="75"/>
      <c r="H40" s="80"/>
      <c r="I40" s="80"/>
    </row>
    <row r="41" customFormat="false" ht="13.2" hidden="false" customHeight="false" outlineLevel="0" collapsed="false">
      <c r="A41" s="47"/>
      <c r="B41" s="74"/>
      <c r="C41" s="74"/>
      <c r="D41" s="74"/>
      <c r="E41" s="74"/>
      <c r="F41" s="74"/>
      <c r="G41" s="80"/>
      <c r="H41" s="80"/>
      <c r="I41" s="74"/>
    </row>
    <row r="42" customFormat="false" ht="13.2" hidden="false" customHeight="false" outlineLevel="0" collapsed="false">
      <c r="A42" s="47"/>
      <c r="B42" s="438" t="s">
        <v>824</v>
      </c>
      <c r="C42" s="74"/>
      <c r="E42" s="74"/>
      <c r="F42" s="74"/>
      <c r="G42" s="74" t="s">
        <v>825</v>
      </c>
      <c r="H42" s="80"/>
      <c r="I42" s="74"/>
    </row>
    <row r="43" customFormat="false" ht="13.2" hidden="false" customHeight="false" outlineLevel="0" collapsed="false">
      <c r="A43" s="47"/>
      <c r="B43" s="439" t="s">
        <v>800</v>
      </c>
      <c r="C43" s="439" t="s">
        <v>190</v>
      </c>
      <c r="D43" s="439" t="s">
        <v>191</v>
      </c>
      <c r="E43" s="440" t="s">
        <v>801</v>
      </c>
      <c r="F43" s="440" t="s">
        <v>802</v>
      </c>
      <c r="G43" s="439" t="s">
        <v>803</v>
      </c>
      <c r="H43" s="76" t="s">
        <v>804</v>
      </c>
      <c r="I43" s="440" t="s">
        <v>805</v>
      </c>
    </row>
    <row r="44" customFormat="false" ht="13.2" hidden="false" customHeight="false" outlineLevel="0" collapsed="false">
      <c r="A44" s="47"/>
      <c r="B44" s="73" t="s">
        <v>806</v>
      </c>
      <c r="C44" s="73" t="n">
        <v>40</v>
      </c>
      <c r="D44" s="73" t="n">
        <v>15</v>
      </c>
      <c r="E44" s="80" t="n">
        <f aca="false">80*C44</f>
        <v>3200</v>
      </c>
      <c r="F44" s="80" t="n">
        <f aca="false">98*D44</f>
        <v>1470</v>
      </c>
      <c r="G44" s="80" t="n">
        <f aca="false">+E44+F44</f>
        <v>4670</v>
      </c>
      <c r="H44" s="75" t="n">
        <v>790.38</v>
      </c>
      <c r="I44" s="75" t="n">
        <f aca="false">+G44+H44</f>
        <v>5460.38</v>
      </c>
      <c r="K44" s="39" t="n">
        <f aca="false">+(G44+H44)*-0.5</f>
        <v>-2730.19</v>
      </c>
    </row>
    <row r="45" customFormat="false" ht="13.2" hidden="false" customHeight="false" outlineLevel="0" collapsed="false">
      <c r="A45" s="47"/>
      <c r="B45" s="73" t="s">
        <v>807</v>
      </c>
      <c r="C45" s="73" t="n">
        <v>40</v>
      </c>
      <c r="D45" s="73" t="n">
        <v>41</v>
      </c>
      <c r="E45" s="80" t="n">
        <f aca="false">80*C45</f>
        <v>3200</v>
      </c>
      <c r="F45" s="80" t="n">
        <f aca="false">98*D45</f>
        <v>4018</v>
      </c>
      <c r="G45" s="80" t="n">
        <f aca="false">+E45+F45</f>
        <v>7218</v>
      </c>
      <c r="H45" s="75" t="n">
        <v>350</v>
      </c>
      <c r="I45" s="75" t="n">
        <f aca="false">+G45+H45</f>
        <v>7568</v>
      </c>
      <c r="K45" s="39" t="n">
        <f aca="false">+(G45+H45)*-0.5</f>
        <v>-3784</v>
      </c>
    </row>
    <row r="46" customFormat="false" ht="13.2" hidden="false" customHeight="false" outlineLevel="0" collapsed="false">
      <c r="A46" s="47"/>
      <c r="B46" s="438" t="s">
        <v>808</v>
      </c>
      <c r="C46" s="73" t="n">
        <v>40</v>
      </c>
      <c r="D46" s="73" t="n">
        <v>19</v>
      </c>
      <c r="E46" s="80" t="n">
        <f aca="false">80*C46</f>
        <v>3200</v>
      </c>
      <c r="F46" s="80" t="n">
        <f aca="false">98*D46</f>
        <v>1862</v>
      </c>
      <c r="G46" s="80" t="n">
        <f aca="false">+E46+F46</f>
        <v>5062</v>
      </c>
      <c r="H46" s="75" t="n">
        <v>350</v>
      </c>
      <c r="I46" s="75" t="n">
        <f aca="false">+G46+H46</f>
        <v>5412</v>
      </c>
      <c r="K46" s="39" t="n">
        <f aca="false">+(G46+H46)*-0.5</f>
        <v>-2706</v>
      </c>
    </row>
    <row r="47" customFormat="false" ht="13.2" hidden="false" customHeight="false" outlineLevel="0" collapsed="false">
      <c r="A47" s="47"/>
      <c r="B47" s="73" t="s">
        <v>809</v>
      </c>
      <c r="C47" s="73" t="n">
        <v>40</v>
      </c>
      <c r="D47" s="73" t="n">
        <v>28</v>
      </c>
      <c r="E47" s="80" t="n">
        <f aca="false">80*C47</f>
        <v>3200</v>
      </c>
      <c r="F47" s="80" t="n">
        <f aca="false">98*D47</f>
        <v>2744</v>
      </c>
      <c r="G47" s="80" t="n">
        <f aca="false">+E47+F47</f>
        <v>5944</v>
      </c>
      <c r="H47" s="75" t="n">
        <v>350</v>
      </c>
      <c r="I47" s="75" t="n">
        <f aca="false">+G47+H47</f>
        <v>6294</v>
      </c>
      <c r="K47" s="39" t="n">
        <f aca="false">+(G47+H47)*-0.5</f>
        <v>-3147</v>
      </c>
    </row>
    <row r="48" customFormat="false" ht="13.2" hidden="false" customHeight="false" outlineLevel="0" collapsed="false">
      <c r="A48" s="47"/>
      <c r="B48" s="73" t="s">
        <v>810</v>
      </c>
      <c r="C48" s="73" t="n">
        <v>40</v>
      </c>
      <c r="D48" s="73" t="n">
        <v>6</v>
      </c>
      <c r="E48" s="80" t="n">
        <f aca="false">80*C48</f>
        <v>3200</v>
      </c>
      <c r="F48" s="80" t="n">
        <f aca="false">98*D48</f>
        <v>588</v>
      </c>
      <c r="G48" s="80" t="n">
        <f aca="false">+E48+F48</f>
        <v>3788</v>
      </c>
      <c r="H48" s="75" t="n">
        <v>300</v>
      </c>
      <c r="I48" s="75" t="n">
        <f aca="false">+G48+H48</f>
        <v>4088</v>
      </c>
      <c r="K48" s="39" t="n">
        <f aca="false">+(G48+H48)*-0.5</f>
        <v>-2044</v>
      </c>
    </row>
    <row r="49" customFormat="false" ht="13.2" hidden="false" customHeight="false" outlineLevel="0" collapsed="false">
      <c r="A49" s="47"/>
      <c r="B49" s="73" t="s">
        <v>811</v>
      </c>
      <c r="C49" s="439" t="n">
        <v>40</v>
      </c>
      <c r="D49" s="439" t="n">
        <v>0</v>
      </c>
      <c r="E49" s="248" t="n">
        <f aca="false">80*C49</f>
        <v>3200</v>
      </c>
      <c r="F49" s="248" t="n">
        <f aca="false">98*D49</f>
        <v>0</v>
      </c>
      <c r="G49" s="248" t="n">
        <f aca="false">+E49+F49</f>
        <v>3200</v>
      </c>
      <c r="H49" s="76" t="n">
        <v>587.31</v>
      </c>
      <c r="I49" s="76" t="n">
        <f aca="false">+G49+H49</f>
        <v>3787.31</v>
      </c>
      <c r="K49" s="39" t="n">
        <f aca="false">+(G49+H49)*-0.5</f>
        <v>-1893.655</v>
      </c>
    </row>
    <row r="50" customFormat="false" ht="13.2" hidden="false" customHeight="false" outlineLevel="0" collapsed="false">
      <c r="A50" s="47"/>
      <c r="B50" s="73" t="s">
        <v>573</v>
      </c>
      <c r="C50" s="62" t="n">
        <f aca="false">SUM(C44:C49)</f>
        <v>240</v>
      </c>
      <c r="D50" s="62" t="n">
        <f aca="false">SUM(D44:D49)</f>
        <v>109</v>
      </c>
      <c r="E50" s="80" t="n">
        <f aca="false">SUM(E44:E49)</f>
        <v>19200</v>
      </c>
      <c r="F50" s="80" t="n">
        <f aca="false">SUM(F44:F49)</f>
        <v>10682</v>
      </c>
      <c r="G50" s="80" t="n">
        <f aca="false">SUM(G44:G49)</f>
        <v>29882</v>
      </c>
      <c r="H50" s="80" t="n">
        <f aca="false">SUM(H44:H49)</f>
        <v>2727.69</v>
      </c>
      <c r="I50" s="75" t="n">
        <f aca="false">SUM(I44:I49)</f>
        <v>32609.69</v>
      </c>
    </row>
    <row r="51" customFormat="false" ht="13.2" hidden="false" customHeight="false" outlineLevel="0" collapsed="false">
      <c r="A51" s="47"/>
      <c r="B51" s="442" t="s">
        <v>823</v>
      </c>
      <c r="C51" s="183"/>
      <c r="D51" s="308"/>
      <c r="E51" s="308"/>
      <c r="F51" s="308"/>
      <c r="G51" s="264"/>
      <c r="H51" s="264"/>
      <c r="I51" s="308"/>
    </row>
    <row r="52" customFormat="false" ht="26.4" hidden="false" customHeight="false" outlineLevel="0" collapsed="false">
      <c r="A52" s="47"/>
      <c r="B52" s="441" t="s">
        <v>822</v>
      </c>
      <c r="C52" s="62" t="n">
        <f aca="false">+C37+C50</f>
        <v>880</v>
      </c>
      <c r="D52" s="62" t="n">
        <f aca="false">+D37+D50</f>
        <v>294</v>
      </c>
      <c r="E52" s="80" t="n">
        <f aca="false">+E37+E50</f>
        <v>73600</v>
      </c>
      <c r="F52" s="80" t="n">
        <f aca="false">+F37+F50</f>
        <v>29737</v>
      </c>
      <c r="G52" s="80" t="n">
        <f aca="false">+G37+G50</f>
        <v>108537</v>
      </c>
      <c r="H52" s="80" t="n">
        <f aca="false">+H37+H50</f>
        <v>23868.25</v>
      </c>
      <c r="I52" s="80" t="n">
        <f aca="false">+I37+I50</f>
        <v>132405.25</v>
      </c>
      <c r="J52" s="38"/>
      <c r="K52" s="38"/>
      <c r="L52" s="38"/>
    </row>
    <row r="53" customFormat="false" ht="13.2" hidden="false" customHeight="false" outlineLevel="0" collapsed="false">
      <c r="A53" s="47"/>
      <c r="B53" s="38"/>
      <c r="C53" s="62"/>
      <c r="D53" s="37" t="s">
        <v>826</v>
      </c>
      <c r="H53" s="37"/>
      <c r="I53" s="39" t="n">
        <v>56892.35</v>
      </c>
      <c r="J53" s="98"/>
      <c r="K53" s="98"/>
      <c r="L53" s="98"/>
    </row>
    <row r="54" customFormat="false" ht="13.2" hidden="false" customHeight="false" outlineLevel="0" collapsed="false">
      <c r="A54" s="47"/>
      <c r="B54" s="38"/>
      <c r="C54" s="62"/>
      <c r="D54" s="37" t="s">
        <v>827</v>
      </c>
      <c r="H54" s="37"/>
      <c r="I54" s="39" t="n">
        <v>44627.66</v>
      </c>
      <c r="J54" s="98"/>
      <c r="K54" s="98"/>
      <c r="L54" s="98"/>
    </row>
    <row r="55" customFormat="false" ht="13.2" hidden="false" customHeight="false" outlineLevel="0" collapsed="false">
      <c r="A55" s="47"/>
      <c r="B55" s="38"/>
      <c r="C55" s="62"/>
      <c r="D55" s="37" t="s">
        <v>828</v>
      </c>
      <c r="H55" s="37"/>
      <c r="I55" s="39" t="n">
        <v>30885.24</v>
      </c>
      <c r="J55" s="98"/>
      <c r="K55" s="98"/>
      <c r="L55" s="98"/>
    </row>
    <row r="56" customFormat="false" ht="13.2" hidden="false" customHeight="false" outlineLevel="0" collapsed="false">
      <c r="A56" s="47"/>
      <c r="B56" s="38"/>
      <c r="C56" s="62"/>
      <c r="G56" s="335" t="s">
        <v>829</v>
      </c>
      <c r="H56" s="37"/>
      <c r="I56" s="39" t="n">
        <v>-24346.57</v>
      </c>
      <c r="J56" s="98"/>
      <c r="K56" s="98"/>
      <c r="L56" s="98"/>
    </row>
    <row r="57" customFormat="false" ht="13.2" hidden="false" customHeight="false" outlineLevel="0" collapsed="false">
      <c r="A57" s="47"/>
      <c r="B57" s="38"/>
      <c r="C57" s="62"/>
      <c r="D57" s="62"/>
      <c r="E57" s="80"/>
      <c r="F57" s="80"/>
      <c r="G57" s="80"/>
      <c r="H57" s="80"/>
      <c r="I57" s="80"/>
      <c r="J57" s="52" t="n">
        <f aca="false">+I52+I56</f>
        <v>108058.68</v>
      </c>
      <c r="K57" s="52"/>
      <c r="L57" s="52"/>
    </row>
    <row r="58" customFormat="false" ht="13.2" hidden="false" customHeight="false" outlineLevel="0" collapsed="false">
      <c r="A58" s="47"/>
      <c r="B58" s="74"/>
      <c r="C58" s="74"/>
      <c r="D58" s="74"/>
      <c r="E58" s="74"/>
      <c r="F58" s="74"/>
      <c r="G58" s="80"/>
      <c r="H58" s="80"/>
      <c r="I58" s="74"/>
      <c r="J58" s="39" t="n">
        <f aca="false">SUM(J21:J57)</f>
        <v>108058.68</v>
      </c>
      <c r="K58" s="39" t="n">
        <f aca="false">SUM(K21:K57)</f>
        <v>-46602.625</v>
      </c>
      <c r="L58" s="39" t="n">
        <f aca="false">+J58+K58</f>
        <v>61456.055</v>
      </c>
    </row>
    <row r="59" customFormat="false" ht="13.2" hidden="false" customHeight="false" outlineLevel="0" collapsed="false">
      <c r="A59" s="47"/>
      <c r="B59" s="74"/>
      <c r="C59" s="74"/>
      <c r="D59" s="74"/>
      <c r="E59" s="74"/>
      <c r="F59" s="74"/>
      <c r="G59" s="80"/>
      <c r="H59" s="80"/>
      <c r="I59" s="74"/>
    </row>
    <row r="60" customFormat="false" ht="4.2" hidden="false" customHeight="true" outlineLevel="0" collapsed="false">
      <c r="A60" s="47"/>
      <c r="C60" s="49"/>
      <c r="J60" s="52"/>
      <c r="K60" s="52"/>
      <c r="L60" s="52"/>
    </row>
    <row r="61" customFormat="false" ht="13.2" hidden="false" customHeight="false" outlineLevel="0" collapsed="false">
      <c r="A61" s="47" t="n">
        <v>14</v>
      </c>
      <c r="B61" s="37" t="s">
        <v>830</v>
      </c>
      <c r="C61" s="274"/>
      <c r="H61" s="320" t="s">
        <v>436</v>
      </c>
      <c r="I61" s="39" t="n">
        <v>18001</v>
      </c>
      <c r="J61" s="39" t="n">
        <v>0</v>
      </c>
      <c r="K61" s="39" t="n">
        <f aca="false">-J61</f>
        <v>-0</v>
      </c>
      <c r="L61" s="39" t="n">
        <f aca="false">+J61+K61</f>
        <v>0</v>
      </c>
    </row>
    <row r="62" customFormat="false" ht="13.2" hidden="false" customHeight="false" outlineLevel="0" collapsed="false">
      <c r="A62" s="47"/>
      <c r="C62" s="49" t="s">
        <v>65</v>
      </c>
      <c r="J62" s="52"/>
      <c r="K62" s="52"/>
      <c r="L62" s="52"/>
    </row>
    <row r="63" customFormat="false" ht="13.2" hidden="false" customHeight="false" outlineLevel="0" collapsed="false">
      <c r="A63" s="47" t="n">
        <v>15</v>
      </c>
      <c r="B63" s="37" t="s">
        <v>69</v>
      </c>
      <c r="J63" s="39" t="n">
        <v>3900.88</v>
      </c>
      <c r="K63" s="39" t="n">
        <v>0</v>
      </c>
      <c r="L63" s="39" t="n">
        <f aca="false">+J63</f>
        <v>3900.88</v>
      </c>
    </row>
    <row r="64" customFormat="false" ht="13.2" hidden="false" customHeight="false" outlineLevel="0" collapsed="false">
      <c r="A64" s="47"/>
      <c r="C64" s="48" t="s">
        <v>70</v>
      </c>
      <c r="J64" s="52"/>
      <c r="K64" s="52"/>
      <c r="L64" s="52"/>
    </row>
    <row r="65" customFormat="false" ht="13.2" hidden="false" customHeight="false" outlineLevel="0" collapsed="false">
      <c r="A65" s="47" t="n">
        <v>16</v>
      </c>
      <c r="B65" s="50" t="s">
        <v>71</v>
      </c>
      <c r="J65" s="39" t="n">
        <v>30069.75</v>
      </c>
      <c r="K65" s="39" t="n">
        <v>0</v>
      </c>
      <c r="L65" s="39" t="n">
        <f aca="false">+J65+K65</f>
        <v>30069.75</v>
      </c>
    </row>
    <row r="66" customFormat="false" ht="13.2" hidden="false" customHeight="false" outlineLevel="0" collapsed="false">
      <c r="A66" s="47"/>
      <c r="C66" s="48" t="s">
        <v>72</v>
      </c>
      <c r="J66" s="52"/>
      <c r="K66" s="52"/>
      <c r="L66" s="52"/>
    </row>
    <row r="67" customFormat="false" ht="13.2" hidden="false" customHeight="false" outlineLevel="0" collapsed="false">
      <c r="A67" s="47" t="n">
        <v>17</v>
      </c>
      <c r="B67" s="37" t="s">
        <v>73</v>
      </c>
      <c r="H67" s="320" t="s">
        <v>436</v>
      </c>
      <c r="I67" s="39" t="n">
        <v>10967.7</v>
      </c>
      <c r="J67" s="39" t="n">
        <v>0</v>
      </c>
      <c r="K67" s="39" t="n">
        <f aca="false">-J67</f>
        <v>-0</v>
      </c>
      <c r="L67" s="39" t="n">
        <f aca="false">+J67+K67</f>
        <v>0</v>
      </c>
    </row>
    <row r="68" customFormat="false" ht="13.2" hidden="false" customHeight="false" outlineLevel="0" collapsed="false">
      <c r="A68" s="47"/>
      <c r="C68" s="48" t="s">
        <v>831</v>
      </c>
      <c r="J68" s="52"/>
      <c r="K68" s="52"/>
      <c r="L68" s="52"/>
    </row>
    <row r="69" customFormat="false" ht="13.2" hidden="false" customHeight="false" outlineLevel="0" collapsed="false">
      <c r="A69" s="47" t="n">
        <v>18</v>
      </c>
      <c r="B69" s="37" t="s">
        <v>75</v>
      </c>
      <c r="D69" s="37" t="s">
        <v>832</v>
      </c>
      <c r="H69" s="320" t="s">
        <v>436</v>
      </c>
      <c r="I69" s="39" t="n">
        <v>10703.77</v>
      </c>
      <c r="J69" s="39" t="n">
        <v>0</v>
      </c>
      <c r="K69" s="39" t="n">
        <v>0</v>
      </c>
      <c r="L69" s="39" t="n">
        <f aca="false">+J69+K69</f>
        <v>0</v>
      </c>
    </row>
    <row r="70" customFormat="false" ht="13.2" hidden="false" customHeight="false" outlineLevel="0" collapsed="false">
      <c r="A70" s="47"/>
      <c r="C70" s="48" t="s">
        <v>76</v>
      </c>
      <c r="H70" s="320"/>
      <c r="J70" s="301"/>
      <c r="K70" s="52"/>
      <c r="L70" s="52"/>
    </row>
    <row r="71" customFormat="false" ht="13.2" hidden="false" customHeight="false" outlineLevel="0" collapsed="false">
      <c r="A71" s="47" t="n">
        <v>19</v>
      </c>
      <c r="B71" s="37" t="s">
        <v>77</v>
      </c>
      <c r="J71" s="39" t="n">
        <v>680</v>
      </c>
      <c r="K71" s="39" t="n">
        <v>0</v>
      </c>
      <c r="L71" s="39" t="n">
        <f aca="false">+J71+K71</f>
        <v>680</v>
      </c>
    </row>
    <row r="72" customFormat="false" ht="13.2" hidden="false" customHeight="false" outlineLevel="0" collapsed="false">
      <c r="A72" s="47"/>
      <c r="C72" s="51" t="s">
        <v>78</v>
      </c>
      <c r="J72" s="52"/>
      <c r="K72" s="52"/>
      <c r="L72" s="52"/>
    </row>
    <row r="73" customFormat="false" ht="13.2" hidden="false" customHeight="false" outlineLevel="0" collapsed="false">
      <c r="A73" s="47" t="n">
        <v>20</v>
      </c>
      <c r="B73" s="37" t="s">
        <v>79</v>
      </c>
      <c r="G73" s="38"/>
      <c r="J73" s="39" t="n">
        <v>3817</v>
      </c>
      <c r="K73" s="39" t="n">
        <f aca="false">-J73</f>
        <v>-3817</v>
      </c>
      <c r="L73" s="39" t="n">
        <f aca="false">+J73+K73</f>
        <v>0</v>
      </c>
    </row>
    <row r="74" customFormat="false" ht="13.2" hidden="false" customHeight="false" outlineLevel="0" collapsed="false">
      <c r="C74" s="48" t="s">
        <v>80</v>
      </c>
      <c r="G74" s="261" t="s">
        <v>833</v>
      </c>
      <c r="J74" s="38"/>
      <c r="K74" s="38"/>
      <c r="L74" s="38"/>
    </row>
    <row r="75" customFormat="false" ht="13.2" hidden="false" customHeight="false" outlineLevel="0" collapsed="false">
      <c r="J75" s="38"/>
      <c r="K75" s="38"/>
      <c r="L75" s="38"/>
    </row>
  </sheetData>
  <mergeCells count="1">
    <mergeCell ref="B14:I15"/>
  </mergeCells>
  <printOptions headings="false" gridLines="false" gridLinesSet="true" horizontalCentered="false" verticalCentered="false"/>
  <pageMargins left="0.170138888888889" right="0.559722222222222" top="0.420138888888889" bottom="0.490277777777778" header="0.2" footer="0.25"/>
  <pageSetup paperSize="1" scale="100" fitToWidth="1" fitToHeight="1" pageOrder="downThenOver" orientation="landscape" blackAndWhite="false" draft="false" cellComments="none" horizontalDpi="300" verticalDpi="300" copies="1"/>
  <headerFooter differentFirst="false" differentOddEven="false">
    <oddHeader>&amp;L&amp;"Arial,Bold"&amp;12Doyle Power, LCC - Principal Insured&amp;RThru: &amp;D
Page &amp;P</oddHeader>
    <oddFooter>&amp;L&amp;F&amp;R&amp;A</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79"/>
  <sheetViews>
    <sheetView showFormulas="false" showGridLines="true" showRowColHeaders="true" showZeros="true" rightToLeft="false" tabSelected="false" showOutlineSymbols="true" defaultGridColor="true" view="pageBreakPreview" topLeftCell="A1" colorId="64" zoomScale="50" zoomScaleNormal="50" zoomScalePageLayoutView="50" workbookViewId="0">
      <selection pane="topLeft" activeCell="B1" activeCellId="0" sqref="B1"/>
    </sheetView>
  </sheetViews>
  <sheetFormatPr defaultColWidth="10.328125" defaultRowHeight="13.2" customHeight="true" zeroHeight="false" outlineLevelRow="0" outlineLevelCol="0"/>
  <cols>
    <col collapsed="false" customWidth="true" hidden="false" outlineLevel="0" max="1" min="1" style="47" width="4.87"/>
    <col collapsed="false" customWidth="true" hidden="false" outlineLevel="0" max="2" min="2" style="37" width="7.55"/>
    <col collapsed="false" customWidth="true" hidden="false" outlineLevel="0" max="3" min="3" style="37" width="6.1"/>
    <col collapsed="false" customWidth="true" hidden="false" outlineLevel="0" max="4" min="4" style="37" width="5.32"/>
    <col collapsed="false" customWidth="true" hidden="false" outlineLevel="0" max="5" min="5" style="85" width="8.55"/>
    <col collapsed="false" customWidth="true" hidden="false" outlineLevel="0" max="6" min="6" style="85" width="8.99"/>
    <col collapsed="false" customWidth="true" hidden="false" outlineLevel="0" max="8" min="7" style="85" width="8.55"/>
    <col collapsed="false" customWidth="true" hidden="false" outlineLevel="0" max="13" min="9" style="86" width="8.55"/>
    <col collapsed="false" customWidth="true" hidden="false" outlineLevel="0" max="15" min="14" style="86" width="9.43"/>
    <col collapsed="false" customWidth="true" hidden="false" outlineLevel="0" max="16" min="16" style="86" width="8.55"/>
    <col collapsed="false" customWidth="true" hidden="false" outlineLevel="0" max="17" min="17" style="86" width="9.55"/>
    <col collapsed="false" customWidth="true" hidden="false" outlineLevel="0" max="18" min="18" style="39" width="11.43"/>
    <col collapsed="false" customWidth="true" hidden="false" outlineLevel="0" max="19" min="19" style="38" width="9.66"/>
    <col collapsed="false" customWidth="true" hidden="false" outlineLevel="0" max="20" min="20" style="38" width="10.43"/>
    <col collapsed="false" customWidth="true" hidden="false" outlineLevel="0" max="21" min="21" style="38" width="10.87"/>
    <col collapsed="false" customWidth="true" hidden="false" outlineLevel="0" max="22" min="22" style="38" width="0.99"/>
    <col collapsed="false" customWidth="false" hidden="false" outlineLevel="0" max="257" min="23" style="38" width="10.32"/>
  </cols>
  <sheetData>
    <row r="1" customFormat="false" ht="15.6" hidden="false" customHeight="false" outlineLevel="0" collapsed="false">
      <c r="D1" s="41" t="s">
        <v>99</v>
      </c>
      <c r="E1" s="87"/>
      <c r="F1" s="87"/>
      <c r="G1" s="87"/>
      <c r="H1" s="87"/>
      <c r="I1" s="87"/>
      <c r="J1" s="42" t="s">
        <v>834</v>
      </c>
      <c r="K1" s="89"/>
    </row>
    <row r="2" customFormat="false" ht="13.2" hidden="false" customHeight="false" outlineLevel="0" collapsed="false">
      <c r="D2" s="38" t="s">
        <v>25</v>
      </c>
      <c r="E2" s="86"/>
      <c r="F2" s="86"/>
      <c r="G2" s="86"/>
      <c r="H2" s="86"/>
      <c r="J2" s="86" t="s">
        <v>835</v>
      </c>
    </row>
    <row r="3" customFormat="false" ht="4.95" hidden="false" customHeight="true" outlineLevel="0" collapsed="false">
      <c r="D3" s="38"/>
      <c r="E3" s="86"/>
      <c r="F3" s="86"/>
      <c r="G3" s="86"/>
      <c r="H3" s="86"/>
    </row>
    <row r="4" customFormat="false" ht="18.6" hidden="false" customHeight="true" outlineLevel="0" collapsed="false">
      <c r="A4" s="443"/>
      <c r="B4" s="41"/>
      <c r="C4" s="43" t="s">
        <v>6</v>
      </c>
      <c r="D4" s="41"/>
      <c r="E4" s="444" t="s">
        <v>26</v>
      </c>
      <c r="F4" s="444"/>
      <c r="G4" s="444"/>
      <c r="I4" s="85"/>
      <c r="J4" s="87"/>
      <c r="K4" s="87"/>
      <c r="L4" s="87"/>
      <c r="M4" s="445"/>
      <c r="N4" s="445"/>
      <c r="O4" s="445"/>
      <c r="P4" s="87"/>
      <c r="Q4" s="87"/>
      <c r="R4" s="416"/>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c r="IH4" s="41"/>
      <c r="II4" s="41"/>
      <c r="IJ4" s="41"/>
      <c r="IK4" s="41"/>
      <c r="IL4" s="41"/>
      <c r="IM4" s="41"/>
      <c r="IN4" s="41"/>
      <c r="IO4" s="41"/>
      <c r="IP4" s="41"/>
      <c r="IQ4" s="41"/>
      <c r="IR4" s="41"/>
      <c r="IS4" s="41"/>
      <c r="IT4" s="41"/>
      <c r="IU4" s="41"/>
      <c r="IV4" s="41"/>
      <c r="IW4" s="41"/>
    </row>
    <row r="5" customFormat="false" ht="13.8" hidden="false" customHeight="false" outlineLevel="0" collapsed="false">
      <c r="C5" s="446" t="s">
        <v>101</v>
      </c>
    </row>
    <row r="6" customFormat="false" ht="13.2" hidden="false" customHeight="false" outlineLevel="0" collapsed="false">
      <c r="C6" s="37" t="s">
        <v>102</v>
      </c>
      <c r="J6" s="90"/>
      <c r="K6" s="90"/>
      <c r="S6" s="198" t="n">
        <f aca="false">+T11+T12+T13+T33+T34+15+15+T37+T38+T39+T40+T41+15</f>
        <v>195</v>
      </c>
    </row>
    <row r="7" customFormat="false" ht="13.2" hidden="false" customHeight="false" outlineLevel="0" collapsed="false">
      <c r="C7" s="73" t="s">
        <v>138</v>
      </c>
      <c r="D7" s="80"/>
      <c r="E7" s="91"/>
      <c r="F7" s="92"/>
    </row>
    <row r="9" customFormat="false" ht="13.2" hidden="false" customHeight="false" outlineLevel="0" collapsed="false">
      <c r="B9" s="201" t="s">
        <v>165</v>
      </c>
      <c r="C9" s="74"/>
      <c r="D9" s="61" t="s">
        <v>158</v>
      </c>
      <c r="E9" s="92"/>
      <c r="F9" s="202" t="s">
        <v>836</v>
      </c>
      <c r="G9" s="92"/>
      <c r="H9" s="92"/>
      <c r="I9" s="202" t="s">
        <v>837</v>
      </c>
      <c r="J9" s="92"/>
      <c r="K9" s="91"/>
      <c r="L9" s="202" t="s">
        <v>838</v>
      </c>
      <c r="M9" s="92"/>
      <c r="N9" s="92"/>
      <c r="O9" s="202" t="s">
        <v>839</v>
      </c>
      <c r="P9" s="92"/>
      <c r="Q9" s="92"/>
      <c r="R9" s="202" t="s">
        <v>840</v>
      </c>
      <c r="S9" s="92"/>
      <c r="T9" s="203" t="s">
        <v>841</v>
      </c>
      <c r="U9" s="75" t="s">
        <v>143</v>
      </c>
    </row>
    <row r="10" customFormat="false" ht="13.2" hidden="false" customHeight="false" outlineLevel="0" collapsed="false">
      <c r="B10" s="73" t="s">
        <v>187</v>
      </c>
      <c r="C10" s="204" t="s">
        <v>188</v>
      </c>
      <c r="D10" s="204" t="s">
        <v>189</v>
      </c>
      <c r="E10" s="203" t="s">
        <v>190</v>
      </c>
      <c r="F10" s="203" t="s">
        <v>191</v>
      </c>
      <c r="G10" s="203" t="s">
        <v>192</v>
      </c>
      <c r="H10" s="203" t="s">
        <v>190</v>
      </c>
      <c r="I10" s="203" t="s">
        <v>191</v>
      </c>
      <c r="J10" s="203" t="s">
        <v>192</v>
      </c>
      <c r="K10" s="203" t="s">
        <v>190</v>
      </c>
      <c r="L10" s="203" t="s">
        <v>191</v>
      </c>
      <c r="M10" s="203" t="s">
        <v>192</v>
      </c>
      <c r="N10" s="203" t="s">
        <v>190</v>
      </c>
      <c r="O10" s="203" t="s">
        <v>193</v>
      </c>
      <c r="P10" s="203" t="s">
        <v>192</v>
      </c>
      <c r="Q10" s="203" t="s">
        <v>190</v>
      </c>
      <c r="R10" s="203" t="s">
        <v>194</v>
      </c>
      <c r="S10" s="203" t="s">
        <v>195</v>
      </c>
      <c r="T10" s="203" t="s">
        <v>842</v>
      </c>
      <c r="U10" s="203" t="s">
        <v>843</v>
      </c>
    </row>
    <row r="11" customFormat="false" ht="13.2" hidden="false" customHeight="false" outlineLevel="0" collapsed="false">
      <c r="A11" s="47" t="n">
        <v>1</v>
      </c>
      <c r="B11" s="205" t="n">
        <v>36698</v>
      </c>
      <c r="C11" s="204" t="n">
        <v>1</v>
      </c>
      <c r="D11" s="204" t="n">
        <v>1</v>
      </c>
      <c r="E11" s="447" t="n">
        <f aca="false">+'Schedule 1 (L)'!E59/8</f>
        <v>1</v>
      </c>
      <c r="F11" s="447" t="n">
        <f aca="false">+'Schedule 1 (L)'!F59/8</f>
        <v>0</v>
      </c>
      <c r="G11" s="447" t="n">
        <f aca="false">+'Schedule 1 (L)'!G59/8</f>
        <v>0</v>
      </c>
      <c r="H11" s="447" t="n">
        <f aca="false">+'Schedule 1 (L)'!H59/8</f>
        <v>0</v>
      </c>
      <c r="I11" s="447" t="n">
        <f aca="false">+'Schedule 1 (L)'!I59/8</f>
        <v>0</v>
      </c>
      <c r="J11" s="447" t="n">
        <f aca="false">+'Schedule 1 (L)'!J59/8</f>
        <v>0</v>
      </c>
      <c r="K11" s="447" t="n">
        <f aca="false">+'Schedule 1 (L)'!K59/8</f>
        <v>1</v>
      </c>
      <c r="L11" s="447" t="n">
        <f aca="false">+'Schedule 1 (L)'!L59/8</f>
        <v>0</v>
      </c>
      <c r="M11" s="447" t="n">
        <f aca="false">+'Schedule 1 (L)'!M59/8</f>
        <v>0</v>
      </c>
      <c r="N11" s="447" t="n">
        <f aca="false">+'Schedule 1 (L)'!N59/8</f>
        <v>2</v>
      </c>
      <c r="O11" s="447" t="n">
        <f aca="false">+'Schedule 1 (L)'!O59/8</f>
        <v>0</v>
      </c>
      <c r="P11" s="447" t="n">
        <f aca="false">+'Schedule 1 (L)'!P59/8</f>
        <v>0</v>
      </c>
      <c r="Q11" s="447" t="n">
        <f aca="false">+'Schedule 1 (L)'!Q59/8</f>
        <v>9</v>
      </c>
      <c r="R11" s="447" t="n">
        <f aca="false">+'Schedule 1 (L)'!R59/8</f>
        <v>0</v>
      </c>
      <c r="S11" s="447" t="n">
        <f aca="false">+'Schedule 1 (L)'!S59/8</f>
        <v>0</v>
      </c>
      <c r="T11" s="448" t="n">
        <f aca="false">+E11+K11+N11+Q11</f>
        <v>13</v>
      </c>
      <c r="U11" s="80" t="n">
        <f aca="false">+F11+G11+I11+J11+L11+M11+O11+P11+R11+S11</f>
        <v>0</v>
      </c>
    </row>
    <row r="12" customFormat="false" ht="13.2" hidden="false" customHeight="false" outlineLevel="0" collapsed="false">
      <c r="A12" s="47" t="n">
        <v>2</v>
      </c>
      <c r="B12" s="205" t="n">
        <v>36699</v>
      </c>
      <c r="C12" s="204" t="n">
        <v>1</v>
      </c>
      <c r="D12" s="204" t="n">
        <v>1</v>
      </c>
      <c r="E12" s="447" t="n">
        <f aca="false">+'Schedule 1 (L)'!E60/8</f>
        <v>1</v>
      </c>
      <c r="F12" s="447" t="n">
        <f aca="false">+'Schedule 1 (L)'!F60/8</f>
        <v>0</v>
      </c>
      <c r="G12" s="447" t="n">
        <f aca="false">+'Schedule 1 (L)'!G60/8</f>
        <v>0</v>
      </c>
      <c r="H12" s="447" t="n">
        <f aca="false">+'Schedule 1 (L)'!H60/8</f>
        <v>0</v>
      </c>
      <c r="I12" s="447" t="n">
        <f aca="false">+'Schedule 1 (L)'!I60/8</f>
        <v>0</v>
      </c>
      <c r="J12" s="447" t="n">
        <f aca="false">+'Schedule 1 (L)'!J60/8</f>
        <v>0</v>
      </c>
      <c r="K12" s="447" t="n">
        <f aca="false">+'Schedule 1 (L)'!K60/8</f>
        <v>1</v>
      </c>
      <c r="L12" s="447" t="n">
        <f aca="false">+'Schedule 1 (L)'!L60/8</f>
        <v>0.625</v>
      </c>
      <c r="M12" s="447" t="n">
        <f aca="false">+'Schedule 1 (L)'!M60/8</f>
        <v>0</v>
      </c>
      <c r="N12" s="447" t="n">
        <f aca="false">+'Schedule 1 (L)'!N60/8</f>
        <v>2</v>
      </c>
      <c r="O12" s="447" t="n">
        <f aca="false">+'Schedule 1 (L)'!O60/8</f>
        <v>1.25</v>
      </c>
      <c r="P12" s="447" t="n">
        <f aca="false">+'Schedule 1 (L)'!P60/8</f>
        <v>0</v>
      </c>
      <c r="Q12" s="447" t="n">
        <f aca="false">+'Schedule 1 (L)'!Q60/8</f>
        <v>13</v>
      </c>
      <c r="R12" s="447" t="n">
        <f aca="false">+'Schedule 1 (L)'!R60/8</f>
        <v>4.5</v>
      </c>
      <c r="S12" s="447" t="n">
        <f aca="false">+'Schedule 1 (L)'!S60/8</f>
        <v>0</v>
      </c>
      <c r="T12" s="448" t="n">
        <f aca="false">+E12+K12+N12+Q12</f>
        <v>17</v>
      </c>
      <c r="U12" s="80" t="n">
        <f aca="false">+F12+G12+I12+J12+L12+M12+O12+P12+R12+S12</f>
        <v>6.375</v>
      </c>
    </row>
    <row r="13" customFormat="false" ht="13.2" hidden="false" customHeight="false" outlineLevel="0" collapsed="false">
      <c r="A13" s="47" t="n">
        <v>3</v>
      </c>
      <c r="B13" s="205" t="n">
        <v>36700</v>
      </c>
      <c r="C13" s="204" t="n">
        <v>1</v>
      </c>
      <c r="D13" s="204" t="n">
        <v>1</v>
      </c>
      <c r="E13" s="447" t="n">
        <f aca="false">+'Schedule 1 (L)'!E61/8</f>
        <v>1</v>
      </c>
      <c r="F13" s="447" t="n">
        <f aca="false">+'Schedule 1 (L)'!F61/8</f>
        <v>0.625</v>
      </c>
      <c r="G13" s="447" t="n">
        <f aca="false">+'Schedule 1 (L)'!G61/8</f>
        <v>0</v>
      </c>
      <c r="H13" s="447" t="n">
        <f aca="false">+'Schedule 1 (L)'!H61/8</f>
        <v>0</v>
      </c>
      <c r="I13" s="447" t="n">
        <f aca="false">+'Schedule 1 (L)'!I61/8</f>
        <v>0</v>
      </c>
      <c r="J13" s="447" t="n">
        <f aca="false">+'Schedule 1 (L)'!J61/8</f>
        <v>0</v>
      </c>
      <c r="K13" s="447" t="n">
        <f aca="false">+'Schedule 1 (L)'!K61/8</f>
        <v>1</v>
      </c>
      <c r="L13" s="447" t="n">
        <f aca="false">+'Schedule 1 (L)'!L61/8</f>
        <v>0.625</v>
      </c>
      <c r="M13" s="447" t="n">
        <f aca="false">+'Schedule 1 (L)'!M61/8</f>
        <v>0</v>
      </c>
      <c r="N13" s="447" t="n">
        <f aca="false">+'Schedule 1 (L)'!N61/8</f>
        <v>2</v>
      </c>
      <c r="O13" s="447" t="n">
        <f aca="false">+'Schedule 1 (L)'!O61/8</f>
        <v>1.25</v>
      </c>
      <c r="P13" s="447" t="n">
        <f aca="false">+'Schedule 1 (L)'!P61/8</f>
        <v>0</v>
      </c>
      <c r="Q13" s="447" t="n">
        <f aca="false">+'Schedule 1 (L)'!Q61/8</f>
        <v>13</v>
      </c>
      <c r="R13" s="447" t="n">
        <f aca="false">+'Schedule 1 (L)'!R61/8</f>
        <v>6.5</v>
      </c>
      <c r="S13" s="447" t="n">
        <f aca="false">+'Schedule 1 (L)'!S61/8</f>
        <v>0</v>
      </c>
      <c r="T13" s="448" t="n">
        <f aca="false">+E13+K13+N13+Q13</f>
        <v>17</v>
      </c>
      <c r="U13" s="80" t="n">
        <f aca="false">+F13+G13+I13+J13+L13+M13+O13+P13+R13+S13</f>
        <v>9</v>
      </c>
    </row>
    <row r="14" customFormat="false" ht="13.2" hidden="false" customHeight="false" outlineLevel="0" collapsed="false">
      <c r="A14" s="47" t="n">
        <v>4</v>
      </c>
      <c r="B14" s="205" t="n">
        <v>36701</v>
      </c>
      <c r="C14" s="204" t="n">
        <v>1</v>
      </c>
      <c r="D14" s="204" t="n">
        <v>1</v>
      </c>
      <c r="E14" s="447" t="n">
        <f aca="false">+'Schedule 1 (L)'!E62/8</f>
        <v>0</v>
      </c>
      <c r="F14" s="447" t="n">
        <f aca="false">+'Schedule 1 (L)'!F62/8</f>
        <v>1.625</v>
      </c>
      <c r="G14" s="447" t="n">
        <f aca="false">+'Schedule 1 (L)'!G62/8</f>
        <v>0</v>
      </c>
      <c r="H14" s="447" t="n">
        <f aca="false">+'Schedule 1 (L)'!H62/8</f>
        <v>0</v>
      </c>
      <c r="I14" s="447" t="n">
        <f aca="false">+'Schedule 1 (L)'!I62/8</f>
        <v>0</v>
      </c>
      <c r="J14" s="447" t="n">
        <f aca="false">+'Schedule 1 (L)'!J62/8</f>
        <v>0</v>
      </c>
      <c r="K14" s="447" t="n">
        <f aca="false">+'Schedule 1 (L)'!K62/8</f>
        <v>0</v>
      </c>
      <c r="L14" s="447" t="n">
        <f aca="false">+'Schedule 1 (L)'!L62/8</f>
        <v>1.625</v>
      </c>
      <c r="M14" s="447" t="n">
        <f aca="false">+'Schedule 1 (L)'!M62/8</f>
        <v>0</v>
      </c>
      <c r="N14" s="447" t="n">
        <f aca="false">+'Schedule 1 (L)'!N62/8</f>
        <v>0</v>
      </c>
      <c r="O14" s="447" t="n">
        <f aca="false">+'Schedule 1 (L)'!O62/8</f>
        <v>1.625</v>
      </c>
      <c r="P14" s="447" t="n">
        <f aca="false">+'Schedule 1 (L)'!P62/8</f>
        <v>0</v>
      </c>
      <c r="Q14" s="447" t="n">
        <f aca="false">+'Schedule 1 (L)'!Q62/8</f>
        <v>0</v>
      </c>
      <c r="R14" s="447" t="n">
        <f aca="false">+'Schedule 1 (L)'!R62/8</f>
        <v>3</v>
      </c>
      <c r="S14" s="447" t="n">
        <f aca="false">+'Schedule 1 (L)'!S62/8</f>
        <v>0</v>
      </c>
      <c r="T14" s="92" t="n">
        <f aca="false">+E14+K14+N14+Q14</f>
        <v>0</v>
      </c>
      <c r="U14" s="80" t="n">
        <f aca="false">+F14+G14+I14+J14+L14+M14+O14+P14+R14+S14</f>
        <v>7.875</v>
      </c>
    </row>
    <row r="15" customFormat="false" ht="13.2" hidden="false" customHeight="false" outlineLevel="0" collapsed="false">
      <c r="A15" s="47" t="n">
        <v>5</v>
      </c>
      <c r="B15" s="205" t="n">
        <v>36702</v>
      </c>
      <c r="C15" s="204" t="n">
        <v>1</v>
      </c>
      <c r="D15" s="204" t="n">
        <v>1</v>
      </c>
      <c r="E15" s="447" t="n">
        <f aca="false">+'Schedule 1 (L)'!E63/8</f>
        <v>0</v>
      </c>
      <c r="F15" s="447" t="n">
        <f aca="false">+'Schedule 1 (L)'!F63/8</f>
        <v>0</v>
      </c>
      <c r="G15" s="447" t="n">
        <f aca="false">+'Schedule 1 (L)'!G63/8</f>
        <v>1.625</v>
      </c>
      <c r="H15" s="447" t="n">
        <f aca="false">+'Schedule 1 (L)'!H63/8</f>
        <v>0</v>
      </c>
      <c r="I15" s="447" t="n">
        <f aca="false">+'Schedule 1 (L)'!I63/8</f>
        <v>0</v>
      </c>
      <c r="J15" s="447" t="n">
        <f aca="false">+'Schedule 1 (L)'!J63/8</f>
        <v>0</v>
      </c>
      <c r="K15" s="447" t="n">
        <f aca="false">+'Schedule 1 (L)'!K63/8</f>
        <v>0</v>
      </c>
      <c r="L15" s="447" t="n">
        <f aca="false">+'Schedule 1 (L)'!L63/8</f>
        <v>0</v>
      </c>
      <c r="M15" s="447" t="n">
        <f aca="false">+'Schedule 1 (L)'!M63/8</f>
        <v>1.625</v>
      </c>
      <c r="N15" s="447" t="n">
        <f aca="false">+'Schedule 1 (L)'!N63/8</f>
        <v>0</v>
      </c>
      <c r="O15" s="447" t="n">
        <f aca="false">+'Schedule 1 (L)'!O63/8</f>
        <v>0</v>
      </c>
      <c r="P15" s="447" t="n">
        <f aca="false">+'Schedule 1 (L)'!P63/8</f>
        <v>3.25</v>
      </c>
      <c r="Q15" s="447" t="n">
        <f aca="false">+'Schedule 1 (L)'!Q63/8</f>
        <v>0</v>
      </c>
      <c r="R15" s="447" t="n">
        <f aca="false">+'Schedule 1 (L)'!R63/8</f>
        <v>0</v>
      </c>
      <c r="S15" s="447" t="n">
        <f aca="false">+'Schedule 1 (L)'!S63/8</f>
        <v>15</v>
      </c>
      <c r="T15" s="92" t="n">
        <f aca="false">+E15+K15+N15+Q15</f>
        <v>0</v>
      </c>
      <c r="U15" s="80" t="n">
        <f aca="false">+F15+G15+I15+J15+L15+M15+O15+P15+R15+S15</f>
        <v>21.5</v>
      </c>
    </row>
    <row r="16" customFormat="false" ht="13.2" hidden="false" customHeight="false" outlineLevel="0" collapsed="false">
      <c r="A16" s="47" t="n">
        <v>6</v>
      </c>
      <c r="B16" s="205" t="n">
        <v>36703</v>
      </c>
      <c r="C16" s="204" t="n">
        <v>1</v>
      </c>
      <c r="D16" s="204" t="n">
        <v>4</v>
      </c>
      <c r="E16" s="447" t="n">
        <f aca="false">+'Schedule 1 (L)'!E64/8</f>
        <v>0</v>
      </c>
      <c r="F16" s="447" t="n">
        <f aca="false">+'Schedule 1 (L)'!F64/8</f>
        <v>0</v>
      </c>
      <c r="G16" s="447" t="n">
        <f aca="false">+'Schedule 1 (L)'!G64/8</f>
        <v>0</v>
      </c>
      <c r="H16" s="447" t="n">
        <f aca="false">+'Schedule 1 (L)'!H64/8</f>
        <v>0</v>
      </c>
      <c r="I16" s="447" t="n">
        <f aca="false">+'Schedule 1 (L)'!I64/8</f>
        <v>0</v>
      </c>
      <c r="J16" s="447" t="n">
        <f aca="false">+'Schedule 1 (L)'!J64/8</f>
        <v>0</v>
      </c>
      <c r="K16" s="447" t="n">
        <f aca="false">+'Schedule 1 (L)'!K64/8</f>
        <v>1</v>
      </c>
      <c r="L16" s="447" t="n">
        <f aca="false">+'Schedule 1 (L)'!L64/8</f>
        <v>0.625</v>
      </c>
      <c r="M16" s="447" t="n">
        <f aca="false">+'Schedule 1 (L)'!M64/8</f>
        <v>0</v>
      </c>
      <c r="N16" s="447" t="n">
        <f aca="false">+'Schedule 1 (L)'!N64/8</f>
        <v>0</v>
      </c>
      <c r="O16" s="447" t="n">
        <f aca="false">+'Schedule 1 (L)'!O64/8</f>
        <v>0</v>
      </c>
      <c r="P16" s="447" t="n">
        <f aca="false">+'Schedule 1 (L)'!P64/8</f>
        <v>0</v>
      </c>
      <c r="Q16" s="447" t="n">
        <f aca="false">+'Schedule 1 (L)'!Q64/8</f>
        <v>2.25</v>
      </c>
      <c r="R16" s="447" t="n">
        <f aca="false">+'Schedule 1 (L)'!R64/8</f>
        <v>3.5</v>
      </c>
      <c r="S16" s="447" t="n">
        <f aca="false">+'Schedule 1 (L)'!S64/8</f>
        <v>0</v>
      </c>
      <c r="T16" s="92" t="n">
        <f aca="false">+E16+K16+N16+Q16</f>
        <v>3.25</v>
      </c>
      <c r="U16" s="80" t="n">
        <f aca="false">+F16+G16+I16+J16+L16+M16+O16+P16+R16+S16</f>
        <v>4.125</v>
      </c>
    </row>
    <row r="17" customFormat="false" ht="13.2" hidden="false" customHeight="false" outlineLevel="0" collapsed="false">
      <c r="A17" s="47" t="n">
        <v>7</v>
      </c>
      <c r="B17" s="205" t="n">
        <v>36704</v>
      </c>
      <c r="C17" s="204" t="n">
        <v>1</v>
      </c>
      <c r="D17" s="204" t="n">
        <v>4</v>
      </c>
      <c r="E17" s="447" t="n">
        <f aca="false">+'Schedule 1 (L)'!E65/8</f>
        <v>0</v>
      </c>
      <c r="F17" s="447" t="n">
        <f aca="false">+'Schedule 1 (L)'!F65/8</f>
        <v>0</v>
      </c>
      <c r="G17" s="447" t="n">
        <f aca="false">+'Schedule 1 (L)'!G65/8</f>
        <v>0</v>
      </c>
      <c r="H17" s="447" t="n">
        <f aca="false">+'Schedule 1 (L)'!H65/8</f>
        <v>0</v>
      </c>
      <c r="I17" s="447" t="n">
        <f aca="false">+'Schedule 1 (L)'!I65/8</f>
        <v>0</v>
      </c>
      <c r="J17" s="447" t="n">
        <v>0</v>
      </c>
      <c r="K17" s="447" t="n">
        <f aca="false">+'Schedule 1 (L)'!K65/8</f>
        <v>1</v>
      </c>
      <c r="L17" s="447" t="n">
        <f aca="false">+'Schedule 1 (L)'!L65/8</f>
        <v>0.625</v>
      </c>
      <c r="M17" s="447" t="n">
        <f aca="false">+'Schedule 1 (L)'!M65/8</f>
        <v>0</v>
      </c>
      <c r="N17" s="447" t="n">
        <f aca="false">+'Schedule 1 (L)'!N65/8</f>
        <v>1</v>
      </c>
      <c r="O17" s="447" t="n">
        <f aca="false">+'Schedule 1 (L)'!O65/8</f>
        <v>0.625</v>
      </c>
      <c r="P17" s="447" t="n">
        <f aca="false">+'Schedule 1 (L)'!P65/8</f>
        <v>0</v>
      </c>
      <c r="Q17" s="447" t="n">
        <f aca="false">+'Schedule 1 (L)'!Q65/8</f>
        <v>7</v>
      </c>
      <c r="R17" s="447" t="n">
        <f aca="false">+'Schedule 1 (L)'!R65/8</f>
        <v>3.5</v>
      </c>
      <c r="S17" s="447" t="n">
        <f aca="false">+'Schedule 1 (L)'!S65/8</f>
        <v>0</v>
      </c>
      <c r="T17" s="92" t="n">
        <f aca="false">+E17+K17+N17+Q17</f>
        <v>9</v>
      </c>
      <c r="U17" s="80" t="n">
        <f aca="false">+F17+G17+I17+J17+L17+M17+O17+P17+R17+S17</f>
        <v>4.75</v>
      </c>
    </row>
    <row r="18" customFormat="false" ht="13.2" hidden="false" customHeight="false" outlineLevel="0" collapsed="false">
      <c r="A18" s="47" t="n">
        <v>8</v>
      </c>
      <c r="B18" s="205" t="n">
        <v>36705</v>
      </c>
      <c r="C18" s="204" t="n">
        <v>1</v>
      </c>
      <c r="D18" s="204" t="n">
        <v>4</v>
      </c>
      <c r="E18" s="447" t="n">
        <f aca="false">+'Schedule 1 (L)'!E66/8</f>
        <v>0</v>
      </c>
      <c r="F18" s="447" t="n">
        <f aca="false">+'Schedule 1 (L)'!F66/8</f>
        <v>0</v>
      </c>
      <c r="G18" s="447" t="n">
        <f aca="false">+'Schedule 1 (L)'!G66/8</f>
        <v>0</v>
      </c>
      <c r="H18" s="447" t="n">
        <f aca="false">+'Schedule 1 (L)'!H66/8</f>
        <v>0</v>
      </c>
      <c r="I18" s="447" t="n">
        <f aca="false">+'Schedule 1 (L)'!I66/8</f>
        <v>0</v>
      </c>
      <c r="J18" s="447" t="n">
        <v>0</v>
      </c>
      <c r="K18" s="447" t="n">
        <f aca="false">+'Schedule 1 (L)'!K66/8</f>
        <v>1</v>
      </c>
      <c r="L18" s="447" t="n">
        <f aca="false">+'Schedule 1 (L)'!L66/8</f>
        <v>0.625</v>
      </c>
      <c r="M18" s="447" t="n">
        <f aca="false">+'Schedule 1 (L)'!M66/8</f>
        <v>0</v>
      </c>
      <c r="N18" s="447" t="n">
        <f aca="false">+'Schedule 1 (L)'!N66/8</f>
        <v>1.5</v>
      </c>
      <c r="O18" s="447" t="n">
        <f aca="false">+'Schedule 1 (L)'!O66/8</f>
        <v>1.25</v>
      </c>
      <c r="P18" s="447" t="n">
        <f aca="false">+'Schedule 1 (L)'!P66/8</f>
        <v>0</v>
      </c>
      <c r="Q18" s="447" t="n">
        <f aca="false">+'Schedule 1 (L)'!Q66/8</f>
        <v>9.5</v>
      </c>
      <c r="R18" s="447" t="n">
        <f aca="false">+'Schedule 1 (L)'!R66/8</f>
        <v>6</v>
      </c>
      <c r="S18" s="447" t="n">
        <f aca="false">+'Schedule 1 (L)'!S66/8</f>
        <v>0</v>
      </c>
      <c r="T18" s="92" t="n">
        <f aca="false">+E18+K18+N18+Q18</f>
        <v>12</v>
      </c>
      <c r="U18" s="80" t="n">
        <f aca="false">+F18+G18+I18+J18+L18+M18+O18+P18+R18+S18</f>
        <v>7.875</v>
      </c>
    </row>
    <row r="19" customFormat="false" ht="13.2" hidden="false" customHeight="false" outlineLevel="0" collapsed="false">
      <c r="A19" s="47" t="n">
        <v>9</v>
      </c>
      <c r="B19" s="205" t="n">
        <v>36706</v>
      </c>
      <c r="C19" s="204" t="n">
        <v>1</v>
      </c>
      <c r="D19" s="204" t="n">
        <v>4</v>
      </c>
      <c r="E19" s="447" t="n">
        <f aca="false">+'Schedule 1 (L)'!E67/8</f>
        <v>1</v>
      </c>
      <c r="F19" s="447" t="n">
        <f aca="false">+'Schedule 1 (L)'!F67/8</f>
        <v>0.625</v>
      </c>
      <c r="G19" s="447" t="n">
        <f aca="false">+'Schedule 1 (L)'!G67/8</f>
        <v>0</v>
      </c>
      <c r="H19" s="447" t="n">
        <f aca="false">+'Schedule 1 (L)'!H67/8</f>
        <v>0</v>
      </c>
      <c r="I19" s="447" t="n">
        <f aca="false">+'Schedule 1 (L)'!I67/8</f>
        <v>0</v>
      </c>
      <c r="J19" s="447" t="n">
        <f aca="false">+'Schedule 1 (L)'!J67/8</f>
        <v>0</v>
      </c>
      <c r="K19" s="447" t="n">
        <f aca="false">+'Schedule 1 (L)'!K67/8</f>
        <v>1</v>
      </c>
      <c r="L19" s="447" t="n">
        <f aca="false">+'Schedule 1 (L)'!L67/8</f>
        <v>0.625</v>
      </c>
      <c r="M19" s="447" t="n">
        <f aca="false">+'Schedule 1 (L)'!M67/8</f>
        <v>0</v>
      </c>
      <c r="N19" s="447" t="n">
        <f aca="false">+'Schedule 1 (L)'!N67/8</f>
        <v>2</v>
      </c>
      <c r="O19" s="447" t="n">
        <f aca="false">+'Schedule 1 (L)'!O67/8</f>
        <v>1.5</v>
      </c>
      <c r="P19" s="447" t="n">
        <f aca="false">+'Schedule 1 (L)'!P67/8</f>
        <v>0</v>
      </c>
      <c r="Q19" s="447" t="n">
        <f aca="false">+'Schedule 1 (L)'!Q67/8</f>
        <v>12</v>
      </c>
      <c r="R19" s="447" t="n">
        <f aca="false">+'Schedule 1 (L)'!R67/8</f>
        <v>6.75</v>
      </c>
      <c r="S19" s="447" t="n">
        <f aca="false">+'Schedule 1 (L)'!S67/8</f>
        <v>0</v>
      </c>
      <c r="T19" s="92" t="n">
        <f aca="false">+E19+K19+N19+Q19</f>
        <v>16</v>
      </c>
      <c r="U19" s="80" t="n">
        <f aca="false">+F19+G19+I19+J19+L19+M19+O19+P19+R19+S19</f>
        <v>9.5</v>
      </c>
    </row>
    <row r="20" customFormat="false" ht="13.2" hidden="false" customHeight="false" outlineLevel="0" collapsed="false">
      <c r="A20" s="47" t="n">
        <v>10</v>
      </c>
      <c r="B20" s="205" t="n">
        <v>36707</v>
      </c>
      <c r="C20" s="204" t="n">
        <v>1</v>
      </c>
      <c r="D20" s="204" t="n">
        <v>4</v>
      </c>
      <c r="E20" s="447" t="n">
        <f aca="false">+'Schedule 1 (L)'!E68/8</f>
        <v>1</v>
      </c>
      <c r="F20" s="447" t="n">
        <f aca="false">+'Schedule 1 (L)'!F68/8</f>
        <v>0.625</v>
      </c>
      <c r="G20" s="447" t="n">
        <f aca="false">+'Schedule 1 (L)'!G68/8</f>
        <v>0</v>
      </c>
      <c r="H20" s="447" t="n">
        <f aca="false">+'Schedule 1 (L)'!H68/8</f>
        <v>0</v>
      </c>
      <c r="I20" s="447" t="n">
        <f aca="false">+'Schedule 1 (L)'!I68/8</f>
        <v>0</v>
      </c>
      <c r="J20" s="447" t="n">
        <f aca="false">+'Schedule 1 (L)'!J68/8</f>
        <v>0</v>
      </c>
      <c r="K20" s="447" t="n">
        <f aca="false">+'Schedule 1 (L)'!K68/8</f>
        <v>1</v>
      </c>
      <c r="L20" s="447" t="n">
        <f aca="false">+'Schedule 1 (L)'!L68/8</f>
        <v>0.625</v>
      </c>
      <c r="M20" s="447" t="n">
        <f aca="false">+'Schedule 1 (L)'!M68/8</f>
        <v>0</v>
      </c>
      <c r="N20" s="447" t="n">
        <f aca="false">+'Schedule 1 (L)'!N68/8</f>
        <v>2</v>
      </c>
      <c r="O20" s="447" t="n">
        <f aca="false">+'Schedule 1 (L)'!O68/8</f>
        <v>1.25</v>
      </c>
      <c r="P20" s="447" t="n">
        <f aca="false">+'Schedule 1 (L)'!P68/8</f>
        <v>0</v>
      </c>
      <c r="Q20" s="447" t="n">
        <f aca="false">+'Schedule 1 (L)'!Q68/8</f>
        <v>12</v>
      </c>
      <c r="R20" s="447" t="n">
        <f aca="false">+'Schedule 1 (L)'!R68/8</f>
        <v>6</v>
      </c>
      <c r="S20" s="447" t="n">
        <f aca="false">+'Schedule 1 (L)'!S68/8</f>
        <v>0</v>
      </c>
      <c r="T20" s="92" t="n">
        <f aca="false">+E20+K20+N20+Q20</f>
        <v>16</v>
      </c>
      <c r="U20" s="80" t="n">
        <f aca="false">+F20+G20+I20+J20+L20+M20+O20+P20+R20+S20</f>
        <v>8.5</v>
      </c>
    </row>
    <row r="21" customFormat="false" ht="13.2" hidden="false" customHeight="false" outlineLevel="0" collapsed="false">
      <c r="A21" s="47" t="n">
        <v>11</v>
      </c>
      <c r="B21" s="205" t="n">
        <v>36708</v>
      </c>
      <c r="C21" s="204" t="n">
        <v>1</v>
      </c>
      <c r="D21" s="204" t="n">
        <v>4</v>
      </c>
      <c r="E21" s="447" t="n">
        <f aca="false">+'Schedule 1 (L)'!E69/8</f>
        <v>0</v>
      </c>
      <c r="F21" s="447" t="n">
        <f aca="false">+'Schedule 1 (L)'!F69/8</f>
        <v>1.625</v>
      </c>
      <c r="G21" s="447" t="n">
        <f aca="false">+'Schedule 1 (L)'!G69/8</f>
        <v>0</v>
      </c>
      <c r="H21" s="447" t="n">
        <f aca="false">+'Schedule 1 (L)'!H69/8</f>
        <v>0</v>
      </c>
      <c r="I21" s="447" t="n">
        <f aca="false">+'Schedule 1 (L)'!I69/8</f>
        <v>0</v>
      </c>
      <c r="J21" s="447" t="n">
        <v>0</v>
      </c>
      <c r="K21" s="447" t="n">
        <f aca="false">+'Schedule 1 (L)'!K69/8</f>
        <v>0</v>
      </c>
      <c r="L21" s="447" t="n">
        <f aca="false">+'Schedule 1 (L)'!L69/8</f>
        <v>1.625</v>
      </c>
      <c r="M21" s="447" t="n">
        <f aca="false">+'Schedule 1 (L)'!M69/8</f>
        <v>0</v>
      </c>
      <c r="N21" s="447" t="n">
        <f aca="false">+'Schedule 1 (L)'!N69/8</f>
        <v>0</v>
      </c>
      <c r="O21" s="447" t="n">
        <f aca="false">+'Schedule 1 (L)'!O69/8</f>
        <v>3.25</v>
      </c>
      <c r="P21" s="447" t="n">
        <f aca="false">+'Schedule 1 (L)'!P69/8</f>
        <v>0</v>
      </c>
      <c r="Q21" s="447" t="n">
        <f aca="false">+'Schedule 1 (L)'!Q69/8</f>
        <v>0</v>
      </c>
      <c r="R21" s="447" t="n">
        <f aca="false">+'Schedule 1 (L)'!R69/8</f>
        <v>18</v>
      </c>
      <c r="S21" s="447" t="n">
        <f aca="false">+'Schedule 1 (L)'!S69/8</f>
        <v>0</v>
      </c>
      <c r="T21" s="92" t="n">
        <f aca="false">+E21+K21+N21+Q21</f>
        <v>0</v>
      </c>
      <c r="U21" s="80" t="n">
        <f aca="false">+F21+G21+I21+J21+L21+M21+O21+P21+R21+S21</f>
        <v>24.5</v>
      </c>
    </row>
    <row r="22" customFormat="false" ht="13.2" hidden="false" customHeight="false" outlineLevel="0" collapsed="false">
      <c r="A22" s="47" t="n">
        <v>12</v>
      </c>
      <c r="B22" s="205" t="n">
        <v>36709</v>
      </c>
      <c r="C22" s="204" t="n">
        <v>1</v>
      </c>
      <c r="D22" s="204" t="n">
        <v>4</v>
      </c>
      <c r="E22" s="447" t="n">
        <f aca="false">+'Schedule 1 (L)'!E70/8</f>
        <v>0</v>
      </c>
      <c r="F22" s="447" t="n">
        <f aca="false">+'Schedule 1 (L)'!F70/8</f>
        <v>0</v>
      </c>
      <c r="G22" s="447" t="n">
        <f aca="false">+'Schedule 1 (L)'!G70/8</f>
        <v>1.625</v>
      </c>
      <c r="H22" s="447" t="n">
        <f aca="false">+'Schedule 1 (L)'!H70/8</f>
        <v>0</v>
      </c>
      <c r="I22" s="447" t="n">
        <f aca="false">+'Schedule 1 (L)'!I70/8</f>
        <v>0</v>
      </c>
      <c r="J22" s="447" t="n">
        <f aca="false">+'Schedule 1 (L)'!J70/8</f>
        <v>0</v>
      </c>
      <c r="K22" s="447" t="n">
        <f aca="false">+'Schedule 1 (L)'!K70/8</f>
        <v>0</v>
      </c>
      <c r="L22" s="447" t="n">
        <f aca="false">+'Schedule 1 (L)'!L70/8</f>
        <v>0</v>
      </c>
      <c r="M22" s="447" t="n">
        <f aca="false">+'Schedule 1 (L)'!M70/8</f>
        <v>1.625</v>
      </c>
      <c r="N22" s="447" t="n">
        <f aca="false">+'Schedule 1 (L)'!N70/8</f>
        <v>0</v>
      </c>
      <c r="O22" s="447" t="n">
        <f aca="false">+'Schedule 1 (L)'!O70/8</f>
        <v>0</v>
      </c>
      <c r="P22" s="447" t="n">
        <f aca="false">+'Schedule 1 (L)'!P70/8</f>
        <v>3.25</v>
      </c>
      <c r="Q22" s="447" t="n">
        <f aca="false">+'Schedule 1 (L)'!Q70/8</f>
        <v>0</v>
      </c>
      <c r="R22" s="447" t="n">
        <f aca="false">+'Schedule 1 (L)'!R70/8</f>
        <v>0</v>
      </c>
      <c r="S22" s="447" t="n">
        <f aca="false">+'Schedule 1 (L)'!S70/8</f>
        <v>18</v>
      </c>
      <c r="T22" s="92" t="n">
        <f aca="false">+E22+K22+N22+Q22</f>
        <v>0</v>
      </c>
      <c r="U22" s="80" t="n">
        <f aca="false">+F22+G22+I22+J22+L22+M22+O22+P22+R22+S22</f>
        <v>24.5</v>
      </c>
    </row>
    <row r="23" customFormat="false" ht="13.2" hidden="false" customHeight="false" outlineLevel="0" collapsed="false">
      <c r="A23" s="47" t="n">
        <v>13</v>
      </c>
      <c r="B23" s="205" t="n">
        <v>36710</v>
      </c>
      <c r="C23" s="204" t="n">
        <v>1</v>
      </c>
      <c r="D23" s="204" t="n">
        <v>7</v>
      </c>
      <c r="E23" s="447" t="n">
        <f aca="false">+'Schedule 1 (L)'!E71/8</f>
        <v>1</v>
      </c>
      <c r="F23" s="447" t="n">
        <f aca="false">+'Schedule 1 (L)'!F71/8</f>
        <v>0</v>
      </c>
      <c r="G23" s="447" t="n">
        <f aca="false">+'Schedule 1 (L)'!G71/8</f>
        <v>0</v>
      </c>
      <c r="H23" s="447" t="n">
        <f aca="false">+'Schedule 1 (L)'!H71/8</f>
        <v>0</v>
      </c>
      <c r="I23" s="447" t="n">
        <f aca="false">+'Schedule 1 (L)'!I71/8</f>
        <v>0</v>
      </c>
      <c r="J23" s="447" t="n">
        <v>0</v>
      </c>
      <c r="K23" s="447" t="n">
        <f aca="false">+'Schedule 1 (L)'!K71/8</f>
        <v>1</v>
      </c>
      <c r="L23" s="447" t="n">
        <f aca="false">+'Schedule 1 (L)'!L71/8</f>
        <v>0.625</v>
      </c>
      <c r="M23" s="447" t="n">
        <f aca="false">+'Schedule 1 (L)'!M71/8</f>
        <v>0</v>
      </c>
      <c r="N23" s="447" t="n">
        <f aca="false">+'Schedule 1 (L)'!N71/8</f>
        <v>2</v>
      </c>
      <c r="O23" s="447" t="n">
        <f aca="false">+'Schedule 1 (L)'!O71/8</f>
        <v>1.25</v>
      </c>
      <c r="P23" s="447" t="n">
        <f aca="false">+'Schedule 1 (L)'!P71/8</f>
        <v>0</v>
      </c>
      <c r="Q23" s="447" t="n">
        <f aca="false">+'Schedule 1 (L)'!Q71/8</f>
        <v>13</v>
      </c>
      <c r="R23" s="447" t="n">
        <f aca="false">+'Schedule 1 (L)'!R71/8</f>
        <v>6.5</v>
      </c>
      <c r="S23" s="447" t="n">
        <f aca="false">+'Schedule 1 (L)'!S71/8</f>
        <v>0</v>
      </c>
      <c r="T23" s="92" t="n">
        <f aca="false">+E23+K23+N23+Q23</f>
        <v>17</v>
      </c>
      <c r="U23" s="80" t="n">
        <f aca="false">+F23+G23+I23+J23+L23+M23+O23+P23+R23+S23</f>
        <v>8.375</v>
      </c>
    </row>
    <row r="24" customFormat="false" ht="13.2" hidden="false" customHeight="false" outlineLevel="0" collapsed="false">
      <c r="A24" s="47" t="n">
        <v>14</v>
      </c>
      <c r="B24" s="205" t="n">
        <v>36711</v>
      </c>
      <c r="C24" s="204" t="n">
        <v>1</v>
      </c>
      <c r="D24" s="204" t="n">
        <v>7</v>
      </c>
      <c r="E24" s="447" t="n">
        <f aca="false">+'Schedule 1 (L)'!E72/8</f>
        <v>0</v>
      </c>
      <c r="F24" s="447" t="n">
        <f aca="false">+'Schedule 1 (L)'!F72/8</f>
        <v>0</v>
      </c>
      <c r="G24" s="447" t="n">
        <f aca="false">+'Schedule 1 (L)'!G72/8</f>
        <v>1.625</v>
      </c>
      <c r="H24" s="447" t="n">
        <f aca="false">+'Schedule 1 (L)'!H72/8</f>
        <v>0</v>
      </c>
      <c r="I24" s="447" t="n">
        <f aca="false">+'Schedule 1 (L)'!I72/8</f>
        <v>0</v>
      </c>
      <c r="J24" s="447" t="n">
        <v>0</v>
      </c>
      <c r="K24" s="447" t="n">
        <f aca="false">+'Schedule 1 (L)'!K72/8</f>
        <v>0</v>
      </c>
      <c r="L24" s="447" t="n">
        <f aca="false">+'Schedule 1 (L)'!L72/8</f>
        <v>0</v>
      </c>
      <c r="M24" s="447" t="n">
        <f aca="false">+'Schedule 1 (L)'!M72/8</f>
        <v>1.625</v>
      </c>
      <c r="N24" s="447" t="n">
        <f aca="false">+'Schedule 1 (L)'!N72/8</f>
        <v>0</v>
      </c>
      <c r="O24" s="447" t="n">
        <f aca="false">+'Schedule 1 (L)'!O72/8</f>
        <v>0</v>
      </c>
      <c r="P24" s="447" t="n">
        <f aca="false">+'Schedule 1 (L)'!P72/8</f>
        <v>3.25</v>
      </c>
      <c r="Q24" s="447" t="n">
        <f aca="false">+'Schedule 1 (L)'!Q72/8</f>
        <v>0</v>
      </c>
      <c r="R24" s="447" t="n">
        <f aca="false">+'Schedule 1 (L)'!R72/8</f>
        <v>0</v>
      </c>
      <c r="S24" s="447" t="n">
        <f aca="false">+'Schedule 1 (L)'!S72/8</f>
        <v>19.5</v>
      </c>
      <c r="T24" s="92" t="n">
        <f aca="false">+E24+K24+N24+Q24</f>
        <v>0</v>
      </c>
      <c r="U24" s="80" t="n">
        <f aca="false">+F24+G24+I24+J24+L24+M24+O24+P24+R24+S24</f>
        <v>26</v>
      </c>
    </row>
    <row r="25" customFormat="false" ht="13.2" hidden="false" customHeight="false" outlineLevel="0" collapsed="false">
      <c r="A25" s="47" t="n">
        <v>15</v>
      </c>
      <c r="B25" s="205" t="n">
        <v>36712</v>
      </c>
      <c r="C25" s="204" t="n">
        <v>1</v>
      </c>
      <c r="D25" s="204" t="n">
        <v>7</v>
      </c>
      <c r="E25" s="447" t="n">
        <f aca="false">+'Schedule 1 (L)'!E73/8</f>
        <v>1</v>
      </c>
      <c r="F25" s="447" t="n">
        <f aca="false">+'Schedule 1 (L)'!F73/8</f>
        <v>0.625</v>
      </c>
      <c r="G25" s="447" t="n">
        <f aca="false">+'Schedule 1 (L)'!G73/8</f>
        <v>0</v>
      </c>
      <c r="H25" s="447" t="n">
        <f aca="false">+'Schedule 1 (L)'!H73/8</f>
        <v>0</v>
      </c>
      <c r="I25" s="447" t="n">
        <f aca="false">+'Schedule 1 (L)'!I73/8</f>
        <v>0</v>
      </c>
      <c r="J25" s="447" t="n">
        <v>0</v>
      </c>
      <c r="K25" s="447" t="n">
        <f aca="false">+'Schedule 1 (L)'!K73/8</f>
        <v>1</v>
      </c>
      <c r="L25" s="447" t="n">
        <f aca="false">+'Schedule 1 (L)'!L73/8</f>
        <v>0.625</v>
      </c>
      <c r="M25" s="447" t="n">
        <f aca="false">+'Schedule 1 (L)'!M73/8</f>
        <v>0</v>
      </c>
      <c r="N25" s="447" t="n">
        <f aca="false">+'Schedule 1 (L)'!N73/8</f>
        <v>2</v>
      </c>
      <c r="O25" s="447" t="n">
        <f aca="false">+'Schedule 1 (L)'!O73/8</f>
        <v>1.25</v>
      </c>
      <c r="P25" s="447" t="n">
        <f aca="false">+'Schedule 1 (L)'!P73/8</f>
        <v>0</v>
      </c>
      <c r="Q25" s="447" t="n">
        <f aca="false">+'Schedule 1 (L)'!Q73/8</f>
        <v>10</v>
      </c>
      <c r="R25" s="447" t="n">
        <f aca="false">+'Schedule 1 (L)'!R73/8</f>
        <v>5</v>
      </c>
      <c r="S25" s="447" t="n">
        <f aca="false">+'Schedule 1 (L)'!S73/8</f>
        <v>0</v>
      </c>
      <c r="T25" s="92" t="n">
        <f aca="false">+E25+K25+N25+Q25</f>
        <v>14</v>
      </c>
      <c r="U25" s="80" t="n">
        <f aca="false">+F25+G25+I25+J25+L25+M25+O25+P25+R25+S25</f>
        <v>7.5</v>
      </c>
    </row>
    <row r="26" customFormat="false" ht="13.2" hidden="false" customHeight="false" outlineLevel="0" collapsed="false">
      <c r="A26" s="47" t="n">
        <v>16</v>
      </c>
      <c r="B26" s="205" t="n">
        <v>36713</v>
      </c>
      <c r="C26" s="204" t="n">
        <v>1</v>
      </c>
      <c r="D26" s="204" t="n">
        <v>7</v>
      </c>
      <c r="E26" s="447" t="n">
        <f aca="false">+'Schedule 1 (L)'!E74/8</f>
        <v>1</v>
      </c>
      <c r="F26" s="447" t="n">
        <f aca="false">+'Schedule 1 (L)'!F74/8</f>
        <v>0.625</v>
      </c>
      <c r="G26" s="447" t="n">
        <f aca="false">+'Schedule 1 (L)'!G74/8</f>
        <v>0</v>
      </c>
      <c r="H26" s="447" t="n">
        <f aca="false">+'Schedule 1 (L)'!H74/8</f>
        <v>0</v>
      </c>
      <c r="I26" s="447" t="n">
        <f aca="false">+'Schedule 1 (L)'!I74/8</f>
        <v>0</v>
      </c>
      <c r="J26" s="447" t="n">
        <v>0</v>
      </c>
      <c r="K26" s="447" t="n">
        <f aca="false">+'Schedule 1 (L)'!K74/8</f>
        <v>1</v>
      </c>
      <c r="L26" s="447" t="n">
        <f aca="false">+'Schedule 1 (L)'!L74/8</f>
        <v>0.625</v>
      </c>
      <c r="M26" s="447" t="n">
        <f aca="false">+'Schedule 1 (L)'!M74/8</f>
        <v>0</v>
      </c>
      <c r="N26" s="447" t="n">
        <f aca="false">+'Schedule 1 (L)'!N74/8</f>
        <v>2</v>
      </c>
      <c r="O26" s="447" t="n">
        <f aca="false">+'Schedule 1 (L)'!O74/8</f>
        <v>1.25</v>
      </c>
      <c r="P26" s="447" t="n">
        <f aca="false">+'Schedule 1 (L)'!P74/8</f>
        <v>0</v>
      </c>
      <c r="Q26" s="447" t="n">
        <f aca="false">+'Schedule 1 (L)'!Q74/8</f>
        <v>10</v>
      </c>
      <c r="R26" s="447" t="n">
        <f aca="false">+'Schedule 1 (L)'!R74/8</f>
        <v>5</v>
      </c>
      <c r="S26" s="447" t="n">
        <f aca="false">+'Schedule 1 (L)'!S74/8</f>
        <v>0</v>
      </c>
      <c r="T26" s="92" t="n">
        <f aca="false">+E26+K26+N26+Q26</f>
        <v>14</v>
      </c>
      <c r="U26" s="80" t="n">
        <f aca="false">+F26+G26+I26+J26+L26+M26+O26+P26+R26+S26</f>
        <v>7.5</v>
      </c>
    </row>
    <row r="27" customFormat="false" ht="13.2" hidden="false" customHeight="false" outlineLevel="0" collapsed="false">
      <c r="A27" s="47" t="n">
        <v>17</v>
      </c>
      <c r="B27" s="205" t="n">
        <v>36714</v>
      </c>
      <c r="C27" s="204" t="n">
        <v>1</v>
      </c>
      <c r="D27" s="204" t="n">
        <v>7</v>
      </c>
      <c r="E27" s="447" t="n">
        <f aca="false">+'Schedule 1 (L)'!E75/8</f>
        <v>1</v>
      </c>
      <c r="F27" s="447" t="n">
        <f aca="false">+'Schedule 1 (L)'!F75/8</f>
        <v>0.625</v>
      </c>
      <c r="G27" s="447" t="n">
        <f aca="false">+'Schedule 1 (L)'!G75/8</f>
        <v>0</v>
      </c>
      <c r="H27" s="447" t="n">
        <f aca="false">+'Schedule 1 (L)'!H75/8</f>
        <v>0</v>
      </c>
      <c r="I27" s="447" t="n">
        <f aca="false">+'Schedule 1 (L)'!I75/8</f>
        <v>0</v>
      </c>
      <c r="J27" s="447" t="n">
        <f aca="false">+'Schedule 1 (L)'!J75/8</f>
        <v>0</v>
      </c>
      <c r="K27" s="447" t="n">
        <f aca="false">+'Schedule 1 (L)'!K75/8</f>
        <v>1</v>
      </c>
      <c r="L27" s="447" t="n">
        <f aca="false">+'Schedule 1 (L)'!L75/8</f>
        <v>0.625</v>
      </c>
      <c r="M27" s="447" t="n">
        <f aca="false">+'Schedule 1 (L)'!M75/8</f>
        <v>0</v>
      </c>
      <c r="N27" s="447" t="n">
        <f aca="false">+'Schedule 1 (L)'!N75/8</f>
        <v>2</v>
      </c>
      <c r="O27" s="447" t="n">
        <f aca="false">+'Schedule 1 (L)'!O75/8</f>
        <v>1.25</v>
      </c>
      <c r="P27" s="447" t="n">
        <f aca="false">+'Schedule 1 (L)'!P75/8</f>
        <v>0</v>
      </c>
      <c r="Q27" s="447" t="n">
        <f aca="false">+'Schedule 1 (L)'!Q75/8</f>
        <v>8</v>
      </c>
      <c r="R27" s="447" t="n">
        <f aca="false">+'Schedule 1 (L)'!R75/8</f>
        <v>4</v>
      </c>
      <c r="S27" s="447" t="n">
        <f aca="false">+'Schedule 1 (L)'!S75/8</f>
        <v>0</v>
      </c>
      <c r="T27" s="92" t="n">
        <f aca="false">+E27+K27+N27+Q27</f>
        <v>12</v>
      </c>
      <c r="U27" s="80" t="n">
        <f aca="false">+F27+G27+I27+J27+L27+M27+O27+P27+R27+S27</f>
        <v>6.5</v>
      </c>
    </row>
    <row r="28" customFormat="false" ht="13.2" hidden="false" customHeight="false" outlineLevel="0" collapsed="false">
      <c r="A28" s="47" t="n">
        <v>18</v>
      </c>
      <c r="B28" s="205" t="n">
        <v>36715</v>
      </c>
      <c r="C28" s="204" t="n">
        <v>1</v>
      </c>
      <c r="D28" s="204" t="n">
        <v>7</v>
      </c>
      <c r="E28" s="447" t="n">
        <f aca="false">+'Schedule 1 (L)'!E76/8</f>
        <v>0</v>
      </c>
      <c r="F28" s="447" t="n">
        <f aca="false">+'Schedule 1 (L)'!F76/8</f>
        <v>1.625</v>
      </c>
      <c r="G28" s="447" t="n">
        <f aca="false">+'Schedule 1 (L)'!G76/8</f>
        <v>0</v>
      </c>
      <c r="H28" s="447" t="n">
        <f aca="false">+'Schedule 1 (L)'!H76/8</f>
        <v>0</v>
      </c>
      <c r="I28" s="447" t="n">
        <f aca="false">+'Schedule 1 (L)'!I76/8</f>
        <v>0</v>
      </c>
      <c r="J28" s="447" t="n">
        <f aca="false">+'Schedule 1 (L)'!J76/8</f>
        <v>0</v>
      </c>
      <c r="K28" s="447" t="n">
        <f aca="false">+'Schedule 1 (L)'!K76/8</f>
        <v>0</v>
      </c>
      <c r="L28" s="447" t="n">
        <f aca="false">+'Schedule 1 (L)'!L76/8</f>
        <v>1.625</v>
      </c>
      <c r="M28" s="447" t="n">
        <f aca="false">+'Schedule 1 (L)'!M76/8</f>
        <v>0</v>
      </c>
      <c r="N28" s="447" t="n">
        <f aca="false">+'Schedule 1 (L)'!N76/8</f>
        <v>0</v>
      </c>
      <c r="O28" s="447" t="n">
        <f aca="false">+'Schedule 1 (L)'!O76/8</f>
        <v>3.25</v>
      </c>
      <c r="P28" s="447" t="n">
        <f aca="false">+'Schedule 1 (L)'!P76/8</f>
        <v>0</v>
      </c>
      <c r="Q28" s="447" t="n">
        <f aca="false">+'Schedule 1 (L)'!Q76/8</f>
        <v>0</v>
      </c>
      <c r="R28" s="447" t="n">
        <f aca="false">+'Schedule 1 (L)'!R76/8</f>
        <v>15</v>
      </c>
      <c r="S28" s="447" t="n">
        <f aca="false">+'Schedule 1 (L)'!S76/8</f>
        <v>0</v>
      </c>
      <c r="T28" s="92" t="n">
        <f aca="false">+E28+K28+N28+Q28</f>
        <v>0</v>
      </c>
      <c r="U28" s="80" t="n">
        <f aca="false">+F28+G28+I28+J28+L28+M28+O28+P28+R28+S28</f>
        <v>21.5</v>
      </c>
    </row>
    <row r="29" customFormat="false" ht="13.2" hidden="false" customHeight="false" outlineLevel="0" collapsed="false">
      <c r="A29" s="47" t="n">
        <v>19</v>
      </c>
      <c r="B29" s="205" t="n">
        <v>36716</v>
      </c>
      <c r="C29" s="204" t="n">
        <v>1</v>
      </c>
      <c r="D29" s="204" t="n">
        <v>7</v>
      </c>
      <c r="E29" s="447" t="n">
        <f aca="false">+'Schedule 1 (L)'!E77/8</f>
        <v>0</v>
      </c>
      <c r="F29" s="447" t="n">
        <f aca="false">+'Schedule 1 (L)'!F77/8</f>
        <v>0</v>
      </c>
      <c r="G29" s="447" t="n">
        <f aca="false">+'Schedule 1 (L)'!G77/8</f>
        <v>1.625</v>
      </c>
      <c r="H29" s="447" t="n">
        <f aca="false">+'Schedule 1 (L)'!H77/8</f>
        <v>0</v>
      </c>
      <c r="I29" s="447" t="n">
        <f aca="false">+'Schedule 1 (L)'!I77/8</f>
        <v>0</v>
      </c>
      <c r="J29" s="447" t="n">
        <f aca="false">+'Schedule 1 (L)'!J77/8</f>
        <v>0</v>
      </c>
      <c r="K29" s="447" t="n">
        <f aca="false">+'Schedule 1 (L)'!K77/8</f>
        <v>0</v>
      </c>
      <c r="L29" s="447" t="n">
        <f aca="false">+'Schedule 1 (L)'!L77/8</f>
        <v>0</v>
      </c>
      <c r="M29" s="447" t="n">
        <f aca="false">+'Schedule 1 (L)'!M77/8</f>
        <v>1.625</v>
      </c>
      <c r="N29" s="447" t="n">
        <f aca="false">+'Schedule 1 (L)'!N77/8</f>
        <v>0</v>
      </c>
      <c r="O29" s="447" t="n">
        <f aca="false">+'Schedule 1 (L)'!O77/8</f>
        <v>0</v>
      </c>
      <c r="P29" s="447" t="n">
        <f aca="false">+'Schedule 1 (L)'!P77/8</f>
        <v>3.25</v>
      </c>
      <c r="Q29" s="447" t="n">
        <f aca="false">+'Schedule 1 (L)'!Q77/8</f>
        <v>0</v>
      </c>
      <c r="R29" s="447" t="n">
        <f aca="false">+'Schedule 1 (L)'!R77/8</f>
        <v>0</v>
      </c>
      <c r="S29" s="447" t="n">
        <f aca="false">+'Schedule 1 (L)'!S77/8</f>
        <v>15</v>
      </c>
      <c r="T29" s="92" t="n">
        <f aca="false">+E29+K29+N29+Q29</f>
        <v>0</v>
      </c>
      <c r="U29" s="80" t="n">
        <f aca="false">+F29+G29+I29+J29+L29+M29+O29+P29+R29+S29</f>
        <v>21.5</v>
      </c>
    </row>
    <row r="30" customFormat="false" ht="13.2" hidden="false" customHeight="false" outlineLevel="0" collapsed="false">
      <c r="A30" s="47" t="n">
        <v>20</v>
      </c>
      <c r="B30" s="205" t="n">
        <v>36717</v>
      </c>
      <c r="C30" s="204" t="n">
        <v>1</v>
      </c>
      <c r="D30" s="74" t="n">
        <v>9</v>
      </c>
      <c r="E30" s="447" t="n">
        <f aca="false">+'Schedule 1 (L)'!E78/8</f>
        <v>1</v>
      </c>
      <c r="F30" s="447" t="n">
        <f aca="false">+'Schedule 1 (L)'!F78/8</f>
        <v>0.625</v>
      </c>
      <c r="G30" s="447" t="n">
        <f aca="false">+'Schedule 1 (L)'!G78/8</f>
        <v>0</v>
      </c>
      <c r="H30" s="447" t="n">
        <f aca="false">+'Schedule 1 (L)'!H78/8</f>
        <v>2</v>
      </c>
      <c r="I30" s="447" t="n">
        <f aca="false">+'Schedule 1 (L)'!I78/8</f>
        <v>0.625</v>
      </c>
      <c r="J30" s="447" t="n">
        <f aca="false">+'Schedule 1 (L)'!J78/8</f>
        <v>0</v>
      </c>
      <c r="K30" s="447" t="n">
        <f aca="false">+'Schedule 1 (L)'!K78/8</f>
        <v>1</v>
      </c>
      <c r="L30" s="447" t="n">
        <f aca="false">+'Schedule 1 (L)'!L78/8</f>
        <v>0.625</v>
      </c>
      <c r="M30" s="447" t="n">
        <f aca="false">+'Schedule 1 (L)'!M78/8</f>
        <v>0</v>
      </c>
      <c r="N30" s="447" t="n">
        <f aca="false">+'Schedule 1 (L)'!N78/8</f>
        <v>2</v>
      </c>
      <c r="O30" s="447" t="n">
        <f aca="false">+'Schedule 1 (L)'!O78/8</f>
        <v>1.25</v>
      </c>
      <c r="P30" s="447" t="n">
        <f aca="false">+'Schedule 1 (L)'!P78/8</f>
        <v>0</v>
      </c>
      <c r="Q30" s="447" t="n">
        <f aca="false">+'Schedule 1 (L)'!Q78/8</f>
        <v>10</v>
      </c>
      <c r="R30" s="447" t="n">
        <f aca="false">+'Schedule 1 (L)'!R78/8</f>
        <v>5</v>
      </c>
      <c r="S30" s="447" t="n">
        <f aca="false">+'Schedule 1 (L)'!S78/8</f>
        <v>0</v>
      </c>
      <c r="T30" s="92" t="n">
        <f aca="false">+E30+K30+N30+Q30</f>
        <v>14</v>
      </c>
      <c r="U30" s="80" t="n">
        <f aca="false">+F30+G30+I30+J30+L30+M30+O30+P30+R30+S30</f>
        <v>8.125</v>
      </c>
    </row>
    <row r="31" customFormat="false" ht="13.2" hidden="false" customHeight="false" outlineLevel="0" collapsed="false">
      <c r="A31" s="47" t="n">
        <v>21</v>
      </c>
      <c r="B31" s="205" t="n">
        <v>36718</v>
      </c>
      <c r="C31" s="204" t="n">
        <v>1</v>
      </c>
      <c r="D31" s="74" t="n">
        <v>9</v>
      </c>
      <c r="E31" s="447" t="n">
        <f aca="false">+'Schedule 1 (L)'!E79/8</f>
        <v>1</v>
      </c>
      <c r="F31" s="447" t="n">
        <f aca="false">+'Schedule 1 (L)'!F79/8</f>
        <v>0.625</v>
      </c>
      <c r="G31" s="447" t="n">
        <f aca="false">+'Schedule 1 (L)'!G79/8</f>
        <v>0</v>
      </c>
      <c r="H31" s="447" t="n">
        <f aca="false">+'Schedule 1 (L)'!H79/8</f>
        <v>1</v>
      </c>
      <c r="I31" s="447" t="n">
        <f aca="false">+'Schedule 1 (L)'!I79/8</f>
        <v>0.625</v>
      </c>
      <c r="J31" s="447" t="n">
        <f aca="false">+'Schedule 1 (L)'!J79/8</f>
        <v>0</v>
      </c>
      <c r="K31" s="447" t="n">
        <f aca="false">+'Schedule 1 (L)'!K79/8</f>
        <v>1</v>
      </c>
      <c r="L31" s="447" t="n">
        <f aca="false">+'Schedule 1 (L)'!L79/8</f>
        <v>0.625</v>
      </c>
      <c r="M31" s="447" t="n">
        <f aca="false">+'Schedule 1 (L)'!M79/8</f>
        <v>0</v>
      </c>
      <c r="N31" s="447" t="n">
        <f aca="false">+'Schedule 1 (L)'!N79/8</f>
        <v>2</v>
      </c>
      <c r="O31" s="447" t="n">
        <f aca="false">+'Schedule 1 (L)'!O79/8</f>
        <v>1.25</v>
      </c>
      <c r="P31" s="447" t="n">
        <f aca="false">+'Schedule 1 (L)'!P79/8</f>
        <v>0</v>
      </c>
      <c r="Q31" s="447" t="n">
        <f aca="false">+'Schedule 1 (L)'!Q79/8</f>
        <v>11</v>
      </c>
      <c r="R31" s="447" t="n">
        <f aca="false">+'Schedule 1 (L)'!R79/8</f>
        <v>5</v>
      </c>
      <c r="S31" s="447" t="n">
        <f aca="false">+'Schedule 1 (L)'!S79/8</f>
        <v>0</v>
      </c>
      <c r="T31" s="92" t="n">
        <f aca="false">+E31+K31+N31+Q31</f>
        <v>15</v>
      </c>
      <c r="U31" s="80" t="n">
        <f aca="false">+F31+G31+I31+J31+L31+M31+O31+P31+R31+S31</f>
        <v>8.125</v>
      </c>
    </row>
    <row r="32" customFormat="false" ht="13.2" hidden="false" customHeight="false" outlineLevel="0" collapsed="false">
      <c r="A32" s="47" t="n">
        <v>22</v>
      </c>
      <c r="B32" s="205" t="n">
        <v>36719</v>
      </c>
      <c r="C32" s="204" t="n">
        <v>1</v>
      </c>
      <c r="D32" s="74" t="n">
        <v>9</v>
      </c>
      <c r="E32" s="447" t="n">
        <f aca="false">+'Schedule 1 (L)'!E80/8</f>
        <v>1</v>
      </c>
      <c r="F32" s="447" t="n">
        <f aca="false">+'Schedule 1 (L)'!F80/8</f>
        <v>0.625</v>
      </c>
      <c r="G32" s="447" t="n">
        <f aca="false">+'Schedule 1 (L)'!G80/8</f>
        <v>0</v>
      </c>
      <c r="H32" s="447" t="n">
        <f aca="false">+'Schedule 1 (L)'!H80/8</f>
        <v>1</v>
      </c>
      <c r="I32" s="447" t="n">
        <f aca="false">+'Schedule 1 (L)'!I80/8</f>
        <v>0.625</v>
      </c>
      <c r="J32" s="447" t="n">
        <f aca="false">+'Schedule 1 (L)'!J80/8</f>
        <v>0</v>
      </c>
      <c r="K32" s="447" t="n">
        <f aca="false">+'Schedule 1 (L)'!K80/8</f>
        <v>1</v>
      </c>
      <c r="L32" s="447" t="n">
        <f aca="false">+'Schedule 1 (L)'!L80/8</f>
        <v>0.625</v>
      </c>
      <c r="M32" s="447" t="n">
        <f aca="false">+'Schedule 1 (L)'!M80/8</f>
        <v>0</v>
      </c>
      <c r="N32" s="447" t="n">
        <f aca="false">+'Schedule 1 (L)'!N80/8</f>
        <v>2</v>
      </c>
      <c r="O32" s="447" t="n">
        <f aca="false">+'Schedule 1 (L)'!O80/8</f>
        <v>1.25</v>
      </c>
      <c r="P32" s="447" t="n">
        <f aca="false">+'Schedule 1 (L)'!P80/8</f>
        <v>0</v>
      </c>
      <c r="Q32" s="447" t="n">
        <f aca="false">+'Schedule 1 (L)'!Q80/8</f>
        <v>6</v>
      </c>
      <c r="R32" s="447" t="n">
        <f aca="false">+'Schedule 1 (L)'!R80/8</f>
        <v>2.5</v>
      </c>
      <c r="S32" s="447" t="n">
        <f aca="false">+'Schedule 1 (L)'!S80/8</f>
        <v>0</v>
      </c>
      <c r="T32" s="92" t="n">
        <f aca="false">+E32+K32+N32+Q32</f>
        <v>10</v>
      </c>
      <c r="U32" s="80" t="n">
        <f aca="false">+F32+G32+I32+J32+L32+M32+O32+P32+R32+S32</f>
        <v>5.625</v>
      </c>
    </row>
    <row r="33" customFormat="false" ht="13.2" hidden="false" customHeight="false" outlineLevel="0" collapsed="false">
      <c r="A33" s="47" t="n">
        <v>23</v>
      </c>
      <c r="B33" s="205" t="n">
        <v>36720</v>
      </c>
      <c r="C33" s="204" t="n">
        <v>1</v>
      </c>
      <c r="D33" s="74" t="n">
        <v>9</v>
      </c>
      <c r="E33" s="447" t="n">
        <f aca="false">+'Schedule 1 (L)'!E81/8</f>
        <v>1</v>
      </c>
      <c r="F33" s="447" t="n">
        <f aca="false">+'Schedule 1 (L)'!F81/8</f>
        <v>0.625</v>
      </c>
      <c r="G33" s="447" t="n">
        <f aca="false">+'Schedule 1 (L)'!G81/8</f>
        <v>0</v>
      </c>
      <c r="H33" s="447" t="n">
        <f aca="false">+'Schedule 1 (L)'!H81/8</f>
        <v>1</v>
      </c>
      <c r="I33" s="447" t="n">
        <f aca="false">+'Schedule 1 (L)'!I81/8</f>
        <v>0.625</v>
      </c>
      <c r="J33" s="447" t="n">
        <f aca="false">+'Schedule 1 (L)'!J81/8</f>
        <v>0</v>
      </c>
      <c r="K33" s="447" t="n">
        <f aca="false">+'Schedule 1 (L)'!K81/8</f>
        <v>1</v>
      </c>
      <c r="L33" s="447" t="n">
        <f aca="false">+'Schedule 1 (L)'!L81/8</f>
        <v>0.625</v>
      </c>
      <c r="M33" s="447" t="n">
        <f aca="false">+'Schedule 1 (L)'!M81/8</f>
        <v>0</v>
      </c>
      <c r="N33" s="447" t="n">
        <f aca="false">+'Schedule 1 (L)'!N81/8</f>
        <v>2</v>
      </c>
      <c r="O33" s="447" t="n">
        <f aca="false">+'Schedule 1 (L)'!O81/8</f>
        <v>1.25</v>
      </c>
      <c r="P33" s="447" t="n">
        <f aca="false">+'Schedule 1 (L)'!P81/8</f>
        <v>0</v>
      </c>
      <c r="Q33" s="447" t="n">
        <f aca="false">+'Schedule 1 (L)'!Q81/8</f>
        <v>6</v>
      </c>
      <c r="R33" s="447" t="n">
        <f aca="false">+'Schedule 1 (L)'!R81/8</f>
        <v>3</v>
      </c>
      <c r="S33" s="447" t="n">
        <f aca="false">+'Schedule 1 (L)'!S81/8</f>
        <v>0</v>
      </c>
      <c r="T33" s="448" t="n">
        <f aca="false">+E33+K33+N33+Q33</f>
        <v>10</v>
      </c>
      <c r="U33" s="80" t="n">
        <f aca="false">+F33+G33+I33+J33+L33+M33+O33+P33+R33+S33</f>
        <v>6.125</v>
      </c>
    </row>
    <row r="34" customFormat="false" ht="13.2" hidden="false" customHeight="false" outlineLevel="0" collapsed="false">
      <c r="A34" s="47" t="n">
        <v>24</v>
      </c>
      <c r="B34" s="205" t="n">
        <v>36721</v>
      </c>
      <c r="C34" s="204" t="n">
        <v>1</v>
      </c>
      <c r="D34" s="74" t="n">
        <v>9</v>
      </c>
      <c r="E34" s="447" t="n">
        <f aca="false">+'Schedule 1 (L)'!E82/8</f>
        <v>1</v>
      </c>
      <c r="F34" s="447" t="n">
        <f aca="false">+'Schedule 1 (L)'!F82/8</f>
        <v>0.625</v>
      </c>
      <c r="G34" s="447" t="n">
        <f aca="false">+'Schedule 1 (L)'!G82/8</f>
        <v>0</v>
      </c>
      <c r="H34" s="447" t="n">
        <f aca="false">+'Schedule 1 (L)'!H82/8</f>
        <v>1</v>
      </c>
      <c r="I34" s="447" t="n">
        <f aca="false">+'Schedule 1 (L)'!I82/8</f>
        <v>0.625</v>
      </c>
      <c r="J34" s="447" t="n">
        <f aca="false">+'Schedule 1 (L)'!J82/8</f>
        <v>0</v>
      </c>
      <c r="K34" s="447" t="n">
        <f aca="false">+'Schedule 1 (L)'!K82/8</f>
        <v>1</v>
      </c>
      <c r="L34" s="447" t="n">
        <f aca="false">+'Schedule 1 (L)'!L82/8</f>
        <v>0.625</v>
      </c>
      <c r="M34" s="447" t="n">
        <f aca="false">+'Schedule 1 (L)'!M82/8</f>
        <v>0</v>
      </c>
      <c r="N34" s="447" t="n">
        <f aca="false">+'Schedule 1 (L)'!N82/8</f>
        <v>2</v>
      </c>
      <c r="O34" s="447" t="n">
        <f aca="false">+'Schedule 1 (L)'!O82/8</f>
        <v>1.25</v>
      </c>
      <c r="P34" s="447" t="n">
        <f aca="false">+'Schedule 1 (L)'!P82/8</f>
        <v>0</v>
      </c>
      <c r="Q34" s="447" t="n">
        <f aca="false">+'Schedule 1 (L)'!Q82/8</f>
        <v>13</v>
      </c>
      <c r="R34" s="447" t="n">
        <f aca="false">+'Schedule 1 (L)'!R82/8</f>
        <v>4.5</v>
      </c>
      <c r="S34" s="447" t="n">
        <f aca="false">+'Schedule 1 (L)'!S82/8</f>
        <v>0</v>
      </c>
      <c r="T34" s="448" t="n">
        <f aca="false">+E34+K34+N34+Q34</f>
        <v>17</v>
      </c>
      <c r="U34" s="80" t="n">
        <f aca="false">+F34+G34+I34+J34+L34+M34+O34+P34+R34+S34</f>
        <v>7.625</v>
      </c>
    </row>
    <row r="35" customFormat="false" ht="13.2" hidden="false" customHeight="false" outlineLevel="0" collapsed="false">
      <c r="A35" s="47" t="n">
        <v>25</v>
      </c>
      <c r="B35" s="205" t="n">
        <v>36722</v>
      </c>
      <c r="C35" s="204" t="n">
        <v>1</v>
      </c>
      <c r="D35" s="74" t="n">
        <v>9</v>
      </c>
      <c r="E35" s="447" t="n">
        <f aca="false">+'Schedule 1 (L)'!E83/8</f>
        <v>0</v>
      </c>
      <c r="F35" s="447" t="n">
        <f aca="false">+'Schedule 1 (L)'!F83/8</f>
        <v>1.625</v>
      </c>
      <c r="G35" s="447" t="n">
        <f aca="false">+'Schedule 1 (L)'!G83/8</f>
        <v>0</v>
      </c>
      <c r="H35" s="447" t="n">
        <f aca="false">+'Schedule 1 (L)'!H83/8</f>
        <v>0</v>
      </c>
      <c r="I35" s="447" t="n">
        <f aca="false">+'Schedule 1 (L)'!I83/8</f>
        <v>1.625</v>
      </c>
      <c r="J35" s="447" t="n">
        <f aca="false">+'Schedule 1 (L)'!J83/8</f>
        <v>0</v>
      </c>
      <c r="K35" s="447" t="n">
        <f aca="false">+'Schedule 1 (L)'!K83/8</f>
        <v>0</v>
      </c>
      <c r="L35" s="447" t="n">
        <f aca="false">+'Schedule 1 (L)'!L83/8</f>
        <v>1.625</v>
      </c>
      <c r="M35" s="447" t="n">
        <f aca="false">+'Schedule 1 (L)'!M83/8</f>
        <v>0</v>
      </c>
      <c r="N35" s="447" t="n">
        <f aca="false">+'Schedule 1 (L)'!N83/8</f>
        <v>0</v>
      </c>
      <c r="O35" s="447" t="n">
        <f aca="false">+'Schedule 1 (L)'!O83/8</f>
        <v>3.25</v>
      </c>
      <c r="P35" s="447" t="n">
        <f aca="false">+'Schedule 1 (L)'!P83/8</f>
        <v>0</v>
      </c>
      <c r="Q35" s="447" t="n">
        <f aca="false">+'Schedule 1 (L)'!Q83/8</f>
        <v>0</v>
      </c>
      <c r="R35" s="447" t="n">
        <f aca="false">+'Schedule 1 (L)'!R83/8</f>
        <v>18</v>
      </c>
      <c r="S35" s="447" t="n">
        <f aca="false">+'Schedule 1 (L)'!S83/8</f>
        <v>0</v>
      </c>
      <c r="T35" s="448" t="n">
        <f aca="false">+E35+K35+N35+Q35</f>
        <v>0</v>
      </c>
      <c r="U35" s="80" t="n">
        <f aca="false">+F35+G35+I35+J35+L35+M35+O35+P35+R35+S35</f>
        <v>26.125</v>
      </c>
    </row>
    <row r="36" customFormat="false" ht="13.2" hidden="false" customHeight="false" outlineLevel="0" collapsed="false">
      <c r="A36" s="47" t="n">
        <v>26</v>
      </c>
      <c r="B36" s="205" t="n">
        <v>36723</v>
      </c>
      <c r="C36" s="204" t="n">
        <v>1</v>
      </c>
      <c r="D36" s="74" t="n">
        <v>9</v>
      </c>
      <c r="E36" s="447" t="n">
        <f aca="false">+'Schedule 1 (L)'!E84/8</f>
        <v>0</v>
      </c>
      <c r="F36" s="447" t="n">
        <f aca="false">+'Schedule 1 (L)'!F84/8</f>
        <v>0</v>
      </c>
      <c r="G36" s="447" t="n">
        <f aca="false">+'Schedule 1 (L)'!G84/8</f>
        <v>1.625</v>
      </c>
      <c r="H36" s="447" t="n">
        <f aca="false">+'Schedule 1 (L)'!H84/8</f>
        <v>0</v>
      </c>
      <c r="I36" s="447" t="n">
        <f aca="false">+'Schedule 1 (L)'!I84/8</f>
        <v>0</v>
      </c>
      <c r="J36" s="447" t="n">
        <f aca="false">+'Schedule 1 (L)'!J84/8</f>
        <v>1.625</v>
      </c>
      <c r="K36" s="447" t="n">
        <f aca="false">+'Schedule 1 (L)'!K84/8</f>
        <v>0</v>
      </c>
      <c r="L36" s="447" t="n">
        <f aca="false">+'Schedule 1 (L)'!L84/8</f>
        <v>0</v>
      </c>
      <c r="M36" s="447" t="n">
        <f aca="false">+'Schedule 1 (L)'!M84/8</f>
        <v>1.625</v>
      </c>
      <c r="N36" s="447" t="n">
        <f aca="false">+'Schedule 1 (L)'!N84/8</f>
        <v>0</v>
      </c>
      <c r="O36" s="447" t="n">
        <f aca="false">+'Schedule 1 (L)'!O84/8</f>
        <v>0</v>
      </c>
      <c r="P36" s="447" t="n">
        <f aca="false">+'Schedule 1 (L)'!P84/8</f>
        <v>3.25</v>
      </c>
      <c r="Q36" s="447" t="n">
        <f aca="false">+'Schedule 1 (L)'!Q84/8</f>
        <v>0</v>
      </c>
      <c r="R36" s="447" t="n">
        <f aca="false">+'Schedule 1 (L)'!R84/8</f>
        <v>0</v>
      </c>
      <c r="S36" s="447" t="n">
        <f aca="false">+'Schedule 1 (L)'!S84/8</f>
        <v>18</v>
      </c>
      <c r="T36" s="448" t="n">
        <f aca="false">+E36+K36+N36+Q36</f>
        <v>0</v>
      </c>
      <c r="U36" s="80" t="n">
        <f aca="false">+F36+G36+I36+J36+L36+M36+O36+P36+R36+S36</f>
        <v>26.125</v>
      </c>
    </row>
    <row r="37" customFormat="false" ht="13.2" hidden="false" customHeight="false" outlineLevel="0" collapsed="false">
      <c r="A37" s="47" t="n">
        <v>27</v>
      </c>
      <c r="B37" s="205" t="n">
        <v>36724</v>
      </c>
      <c r="C37" s="204" t="n">
        <v>1</v>
      </c>
      <c r="D37" s="74" t="n">
        <v>11</v>
      </c>
      <c r="E37" s="447" t="n">
        <f aca="false">+'Schedule 1 (L)'!E85/8</f>
        <v>1</v>
      </c>
      <c r="F37" s="447" t="n">
        <f aca="false">+'Schedule 1 (L)'!F85/8</f>
        <v>0.625</v>
      </c>
      <c r="G37" s="447" t="n">
        <f aca="false">+'Schedule 1 (L)'!G85/8</f>
        <v>0</v>
      </c>
      <c r="H37" s="447" t="n">
        <f aca="false">+'Schedule 1 (L)'!H85/8</f>
        <v>1</v>
      </c>
      <c r="I37" s="447" t="n">
        <f aca="false">+'Schedule 1 (L)'!I85/8</f>
        <v>0.625</v>
      </c>
      <c r="J37" s="447" t="n">
        <f aca="false">+'Schedule 1 (L)'!J85/8</f>
        <v>0</v>
      </c>
      <c r="K37" s="447" t="n">
        <f aca="false">+'Schedule 1 (L)'!K85/8</f>
        <v>1</v>
      </c>
      <c r="L37" s="447" t="n">
        <f aca="false">+'Schedule 1 (L)'!L85/8</f>
        <v>0.625</v>
      </c>
      <c r="M37" s="447" t="n">
        <f aca="false">+'Schedule 1 (L)'!M85/8</f>
        <v>0</v>
      </c>
      <c r="N37" s="447" t="n">
        <f aca="false">+'Schedule 1 (L)'!N85/8</f>
        <v>2</v>
      </c>
      <c r="O37" s="447" t="n">
        <f aca="false">+'Schedule 1 (L)'!O85/8</f>
        <v>1.25</v>
      </c>
      <c r="P37" s="447" t="n">
        <f aca="false">+'Schedule 1 (L)'!P85/8</f>
        <v>0</v>
      </c>
      <c r="Q37" s="447" t="n">
        <f aca="false">+'Schedule 1 (L)'!Q85/8</f>
        <v>11</v>
      </c>
      <c r="R37" s="447" t="n">
        <f aca="false">+'Schedule 1 (L)'!R85/8</f>
        <v>5.5</v>
      </c>
      <c r="S37" s="447" t="n">
        <f aca="false">+'Schedule 1 (L)'!S85/8</f>
        <v>0</v>
      </c>
      <c r="T37" s="448" t="n">
        <f aca="false">+E37+K37+N37+Q37</f>
        <v>15</v>
      </c>
      <c r="U37" s="80" t="n">
        <f aca="false">+F37+G37+I37+J37+L37+M37+O37+P37+R37+S37</f>
        <v>8.625</v>
      </c>
    </row>
    <row r="38" customFormat="false" ht="13.2" hidden="false" customHeight="false" outlineLevel="0" collapsed="false">
      <c r="A38" s="47" t="n">
        <v>28</v>
      </c>
      <c r="B38" s="205" t="n">
        <v>36725</v>
      </c>
      <c r="C38" s="204" t="n">
        <v>1</v>
      </c>
      <c r="D38" s="74" t="n">
        <v>11</v>
      </c>
      <c r="E38" s="447" t="n">
        <f aca="false">+'Schedule 1 (L)'!E86/8</f>
        <v>1</v>
      </c>
      <c r="F38" s="447" t="n">
        <f aca="false">+'Schedule 1 (L)'!F86/8</f>
        <v>0.625</v>
      </c>
      <c r="G38" s="447" t="n">
        <f aca="false">+'Schedule 1 (L)'!G86/8</f>
        <v>0</v>
      </c>
      <c r="H38" s="447" t="n">
        <f aca="false">+'Schedule 1 (L)'!H86/8</f>
        <v>1</v>
      </c>
      <c r="I38" s="447" t="n">
        <f aca="false">+'Schedule 1 (L)'!I86/8</f>
        <v>0.625</v>
      </c>
      <c r="J38" s="447" t="n">
        <f aca="false">+'Schedule 1 (L)'!J86/8</f>
        <v>0</v>
      </c>
      <c r="K38" s="447" t="n">
        <f aca="false">+'Schedule 1 (L)'!K86/8</f>
        <v>1</v>
      </c>
      <c r="L38" s="447" t="n">
        <f aca="false">+'Schedule 1 (L)'!L86/8</f>
        <v>0.625</v>
      </c>
      <c r="M38" s="447" t="n">
        <f aca="false">+'Schedule 1 (L)'!M86/8</f>
        <v>0</v>
      </c>
      <c r="N38" s="447" t="n">
        <f aca="false">+'Schedule 1 (L)'!N86/8</f>
        <v>2</v>
      </c>
      <c r="O38" s="447" t="n">
        <f aca="false">+'Schedule 1 (L)'!O86/8</f>
        <v>1.25</v>
      </c>
      <c r="P38" s="447" t="n">
        <f aca="false">+'Schedule 1 (L)'!P86/8</f>
        <v>0</v>
      </c>
      <c r="Q38" s="447" t="n">
        <f aca="false">+'Schedule 1 (L)'!Q86/8</f>
        <v>11</v>
      </c>
      <c r="R38" s="447" t="n">
        <f aca="false">+'Schedule 1 (L)'!R86/8</f>
        <v>5.5</v>
      </c>
      <c r="S38" s="447" t="n">
        <f aca="false">+'Schedule 1 (L)'!S86/8</f>
        <v>0</v>
      </c>
      <c r="T38" s="448" t="n">
        <f aca="false">+E38+K38+N38+Q38</f>
        <v>15</v>
      </c>
      <c r="U38" s="80" t="n">
        <f aca="false">+F38+G38+I38+J38+L38+M38+O38+P38+R38+S38</f>
        <v>8.625</v>
      </c>
    </row>
    <row r="39" customFormat="false" ht="13.2" hidden="false" customHeight="false" outlineLevel="0" collapsed="false">
      <c r="A39" s="47" t="n">
        <v>29</v>
      </c>
      <c r="B39" s="205" t="n">
        <v>36726</v>
      </c>
      <c r="C39" s="204" t="n">
        <v>1</v>
      </c>
      <c r="D39" s="74" t="n">
        <v>11</v>
      </c>
      <c r="E39" s="447" t="n">
        <f aca="false">+'Schedule 1 (L)'!E87/8</f>
        <v>1</v>
      </c>
      <c r="F39" s="447" t="n">
        <f aca="false">+'Schedule 1 (L)'!F87/8</f>
        <v>0.75</v>
      </c>
      <c r="G39" s="447" t="n">
        <f aca="false">+'Schedule 1 (L)'!G87/8</f>
        <v>0</v>
      </c>
      <c r="H39" s="447" t="n">
        <f aca="false">+'Schedule 1 (L)'!H87/8</f>
        <v>1</v>
      </c>
      <c r="I39" s="447" t="n">
        <f aca="false">+'Schedule 1 (L)'!I87/8</f>
        <v>0.625</v>
      </c>
      <c r="J39" s="447" t="n">
        <f aca="false">+'Schedule 1 (L)'!J87/8</f>
        <v>0</v>
      </c>
      <c r="K39" s="447" t="n">
        <f aca="false">+'Schedule 1 (L)'!K87/8</f>
        <v>1</v>
      </c>
      <c r="L39" s="447" t="n">
        <f aca="false">+'Schedule 1 (L)'!L87/8</f>
        <v>0.625</v>
      </c>
      <c r="M39" s="447" t="n">
        <f aca="false">+'Schedule 1 (L)'!M87/8</f>
        <v>0</v>
      </c>
      <c r="N39" s="447" t="n">
        <f aca="false">+'Schedule 1 (L)'!N87/8</f>
        <v>2</v>
      </c>
      <c r="O39" s="447" t="n">
        <f aca="false">+'Schedule 1 (L)'!O87/8</f>
        <v>1.25</v>
      </c>
      <c r="P39" s="447" t="n">
        <f aca="false">+'Schedule 1 (L)'!P87/8</f>
        <v>0</v>
      </c>
      <c r="Q39" s="447" t="n">
        <f aca="false">+'Schedule 1 (L)'!Q87/8</f>
        <v>11</v>
      </c>
      <c r="R39" s="447" t="n">
        <f aca="false">+'Schedule 1 (L)'!R87/8</f>
        <v>5.5</v>
      </c>
      <c r="S39" s="447" t="n">
        <f aca="false">+'Schedule 1 (L)'!S87/8</f>
        <v>0</v>
      </c>
      <c r="T39" s="448" t="n">
        <f aca="false">+E39+K39+N39+Q39</f>
        <v>15</v>
      </c>
      <c r="U39" s="80" t="n">
        <f aca="false">+F39+G39+I39+J39+L39+M39+O39+P39+R39+S39</f>
        <v>8.75</v>
      </c>
    </row>
    <row r="40" customFormat="false" ht="13.2" hidden="false" customHeight="false" outlineLevel="0" collapsed="false">
      <c r="A40" s="47" t="n">
        <v>30</v>
      </c>
      <c r="B40" s="205" t="n">
        <v>36727</v>
      </c>
      <c r="C40" s="204" t="n">
        <v>1</v>
      </c>
      <c r="D40" s="74" t="n">
        <v>11</v>
      </c>
      <c r="E40" s="447" t="n">
        <f aca="false">+'Schedule 1 (L)'!E88/8</f>
        <v>1</v>
      </c>
      <c r="F40" s="447" t="n">
        <f aca="false">+'Schedule 1 (L)'!F88/8</f>
        <v>1</v>
      </c>
      <c r="G40" s="447" t="n">
        <f aca="false">+'Schedule 1 (L)'!G88/8</f>
        <v>0</v>
      </c>
      <c r="H40" s="447" t="n">
        <f aca="false">+'Schedule 1 (L)'!H88/8</f>
        <v>1</v>
      </c>
      <c r="I40" s="447" t="n">
        <f aca="false">+'Schedule 1 (L)'!I88/8</f>
        <v>0</v>
      </c>
      <c r="J40" s="447" t="n">
        <f aca="false">+'Schedule 1 (L)'!J88/8</f>
        <v>0</v>
      </c>
      <c r="K40" s="447" t="n">
        <f aca="false">+'Schedule 1 (L)'!K88/8</f>
        <v>1</v>
      </c>
      <c r="L40" s="447" t="n">
        <f aca="false">+'Schedule 1 (L)'!L88/8</f>
        <v>1</v>
      </c>
      <c r="M40" s="447" t="n">
        <f aca="false">+'Schedule 1 (L)'!M88/8</f>
        <v>0</v>
      </c>
      <c r="N40" s="447" t="n">
        <f aca="false">+'Schedule 1 (L)'!N88/8</f>
        <v>2</v>
      </c>
      <c r="O40" s="447" t="n">
        <f aca="false">+'Schedule 1 (L)'!O88/8</f>
        <v>2</v>
      </c>
      <c r="P40" s="447" t="n">
        <f aca="false">+'Schedule 1 (L)'!P88/8</f>
        <v>0</v>
      </c>
      <c r="Q40" s="447" t="n">
        <f aca="false">+'Schedule 1 (L)'!Q88/8</f>
        <v>11</v>
      </c>
      <c r="R40" s="447" t="n">
        <f aca="false">+'Schedule 1 (L)'!R88/8</f>
        <v>9.75</v>
      </c>
      <c r="S40" s="447" t="n">
        <f aca="false">+'Schedule 1 (L)'!S88/8</f>
        <v>0</v>
      </c>
      <c r="T40" s="448" t="n">
        <f aca="false">+E40+K40+N40+Q40</f>
        <v>15</v>
      </c>
      <c r="U40" s="80" t="n">
        <f aca="false">+F40+G40+I40+J40+L40+M40+O40+P40+R40+S40</f>
        <v>13.75</v>
      </c>
    </row>
    <row r="41" customFormat="false" ht="13.2" hidden="false" customHeight="false" outlineLevel="0" collapsed="false">
      <c r="A41" s="47" t="n">
        <v>31</v>
      </c>
      <c r="B41" s="205" t="n">
        <v>36728</v>
      </c>
      <c r="C41" s="204" t="n">
        <v>1</v>
      </c>
      <c r="D41" s="74" t="n">
        <v>11</v>
      </c>
      <c r="E41" s="447" t="n">
        <f aca="false">+'Schedule 1 (L)'!E89/8</f>
        <v>1</v>
      </c>
      <c r="F41" s="447" t="n">
        <f aca="false">+'Schedule 1 (L)'!F89/8</f>
        <v>0.625</v>
      </c>
      <c r="G41" s="447" t="n">
        <f aca="false">+'Schedule 1 (L)'!G89/8</f>
        <v>0</v>
      </c>
      <c r="H41" s="447" t="n">
        <f aca="false">+'Schedule 1 (L)'!H89/8</f>
        <v>1</v>
      </c>
      <c r="I41" s="447" t="n">
        <f aca="false">+'Schedule 1 (L)'!I89/8</f>
        <v>0.625</v>
      </c>
      <c r="J41" s="447" t="n">
        <f aca="false">+'Schedule 1 (L)'!J89/8</f>
        <v>0</v>
      </c>
      <c r="K41" s="447" t="n">
        <f aca="false">+'Schedule 1 (L)'!K89/8</f>
        <v>1</v>
      </c>
      <c r="L41" s="447" t="n">
        <f aca="false">+'Schedule 1 (L)'!L89/8</f>
        <v>0.625</v>
      </c>
      <c r="M41" s="447" t="n">
        <f aca="false">+'Schedule 1 (L)'!M89/8</f>
        <v>0</v>
      </c>
      <c r="N41" s="447" t="n">
        <f aca="false">+'Schedule 1 (L)'!N89/8</f>
        <v>2</v>
      </c>
      <c r="O41" s="447" t="n">
        <f aca="false">+'Schedule 1 (L)'!O89/8</f>
        <v>1.25</v>
      </c>
      <c r="P41" s="447" t="n">
        <f aca="false">+'Schedule 1 (L)'!P89/8</f>
        <v>0</v>
      </c>
      <c r="Q41" s="447" t="n">
        <f aca="false">+'Schedule 1 (L)'!Q89/8</f>
        <v>12</v>
      </c>
      <c r="R41" s="447" t="n">
        <f aca="false">+'Schedule 1 (L)'!R89/8</f>
        <v>6.125</v>
      </c>
      <c r="S41" s="447" t="n">
        <f aca="false">+'Schedule 1 (L)'!S89/8</f>
        <v>0</v>
      </c>
      <c r="T41" s="448" t="n">
        <f aca="false">+E41+K41+N41+Q41</f>
        <v>16</v>
      </c>
      <c r="U41" s="80" t="n">
        <f aca="false">+F41+G41+I41+J41+L41+M41+O41+P41+R41+S41</f>
        <v>9.25</v>
      </c>
    </row>
    <row r="42" customFormat="false" ht="13.2" hidden="false" customHeight="false" outlineLevel="0" collapsed="false">
      <c r="A42" s="47" t="n">
        <v>32</v>
      </c>
      <c r="B42" s="205" t="n">
        <v>36729</v>
      </c>
      <c r="C42" s="204" t="n">
        <v>1</v>
      </c>
      <c r="D42" s="74" t="n">
        <v>11</v>
      </c>
      <c r="E42" s="447" t="n">
        <f aca="false">+'Schedule 1 (L)'!E90/8</f>
        <v>0</v>
      </c>
      <c r="F42" s="447" t="n">
        <f aca="false">+'Schedule 1 (L)'!F90/8</f>
        <v>1.625</v>
      </c>
      <c r="G42" s="447" t="n">
        <f aca="false">+'Schedule 1 (L)'!G90/8</f>
        <v>0</v>
      </c>
      <c r="H42" s="447" t="n">
        <f aca="false">+'Schedule 1 (L)'!H90/8</f>
        <v>0</v>
      </c>
      <c r="I42" s="447" t="n">
        <f aca="false">+'Schedule 1 (L)'!I90/8</f>
        <v>1.625</v>
      </c>
      <c r="J42" s="447" t="n">
        <f aca="false">+'Schedule 1 (L)'!J90/8</f>
        <v>0</v>
      </c>
      <c r="K42" s="447" t="n">
        <f aca="false">+'Schedule 1 (L)'!K90/8</f>
        <v>0</v>
      </c>
      <c r="L42" s="447" t="n">
        <f aca="false">+'Schedule 1 (L)'!L90/8</f>
        <v>1.625</v>
      </c>
      <c r="M42" s="447" t="n">
        <f aca="false">+'Schedule 1 (L)'!M90/8</f>
        <v>0</v>
      </c>
      <c r="N42" s="447" t="n">
        <f aca="false">+'Schedule 1 (L)'!N90/8</f>
        <v>0</v>
      </c>
      <c r="O42" s="447" t="n">
        <f aca="false">+'Schedule 1 (L)'!O90/8</f>
        <v>2</v>
      </c>
      <c r="P42" s="447" t="n">
        <f aca="false">+'Schedule 1 (L)'!P90/8</f>
        <v>0</v>
      </c>
      <c r="Q42" s="447" t="n">
        <f aca="false">+'Schedule 1 (L)'!Q90/8</f>
        <v>0</v>
      </c>
      <c r="R42" s="447" t="n">
        <f aca="false">+'Schedule 1 (L)'!R90/8</f>
        <v>14.5</v>
      </c>
      <c r="S42" s="447" t="n">
        <f aca="false">+'Schedule 1 (L)'!S90/8</f>
        <v>0</v>
      </c>
      <c r="T42" s="448" t="n">
        <f aca="false">+E42+K42+N42+Q42</f>
        <v>0</v>
      </c>
      <c r="U42" s="80" t="n">
        <f aca="false">+F42+G42+I42+J42+L42+M42+O42+P42+R42+S42</f>
        <v>21.375</v>
      </c>
    </row>
    <row r="43" customFormat="false" ht="13.2" hidden="false" customHeight="false" outlineLevel="0" collapsed="false">
      <c r="A43" s="47" t="n">
        <v>33</v>
      </c>
      <c r="B43" s="205" t="n">
        <v>36730</v>
      </c>
      <c r="C43" s="204" t="n">
        <v>1</v>
      </c>
      <c r="D43" s="74" t="n">
        <v>11</v>
      </c>
      <c r="E43" s="447" t="n">
        <f aca="false">+'Schedule 1 (L)'!E91/8</f>
        <v>0</v>
      </c>
      <c r="F43" s="447" t="n">
        <f aca="false">+'Schedule 1 (L)'!F91/8</f>
        <v>0</v>
      </c>
      <c r="G43" s="447" t="n">
        <f aca="false">+'Schedule 1 (L)'!G91/8</f>
        <v>1.625</v>
      </c>
      <c r="H43" s="447" t="n">
        <f aca="false">+'Schedule 1 (L)'!H91/8</f>
        <v>0</v>
      </c>
      <c r="I43" s="447" t="n">
        <f aca="false">+'Schedule 1 (L)'!I91/8</f>
        <v>0</v>
      </c>
      <c r="J43" s="447" t="n">
        <f aca="false">+'Schedule 1 (L)'!J91/8</f>
        <v>1.625</v>
      </c>
      <c r="K43" s="447" t="n">
        <f aca="false">+'Schedule 1 (L)'!K91/8</f>
        <v>0</v>
      </c>
      <c r="L43" s="447" t="n">
        <f aca="false">+'Schedule 1 (L)'!L91/8</f>
        <v>0</v>
      </c>
      <c r="M43" s="447" t="n">
        <f aca="false">+'Schedule 1 (L)'!M91/8</f>
        <v>1.625</v>
      </c>
      <c r="N43" s="447" t="n">
        <f aca="false">+'Schedule 1 (L)'!N91/8</f>
        <v>0</v>
      </c>
      <c r="O43" s="447" t="n">
        <f aca="false">+'Schedule 1 (L)'!O91/8</f>
        <v>0</v>
      </c>
      <c r="P43" s="447" t="n">
        <f aca="false">+'Schedule 1 (L)'!P91/8</f>
        <v>0</v>
      </c>
      <c r="Q43" s="447" t="n">
        <f aca="false">+'Schedule 1 (L)'!Q91/8</f>
        <v>0</v>
      </c>
      <c r="R43" s="447" t="n">
        <f aca="false">+'Schedule 1 (L)'!R91/8</f>
        <v>0</v>
      </c>
      <c r="S43" s="447" t="n">
        <f aca="false">+'Schedule 1 (L)'!S91/8</f>
        <v>6.5</v>
      </c>
      <c r="T43" s="92" t="n">
        <f aca="false">+E43+K43+N43+Q43</f>
        <v>0</v>
      </c>
      <c r="U43" s="80" t="n">
        <f aca="false">+F43+G43+I43+J43+L43+M43+O43+P43+R43+S43</f>
        <v>11.375</v>
      </c>
    </row>
    <row r="44" customFormat="false" ht="13.2" hidden="false" customHeight="false" outlineLevel="0" collapsed="false">
      <c r="A44" s="47" t="n">
        <v>34</v>
      </c>
      <c r="B44" s="205" t="n">
        <v>36731</v>
      </c>
      <c r="C44" s="204" t="n">
        <v>1</v>
      </c>
      <c r="D44" s="74" t="n">
        <v>12</v>
      </c>
      <c r="E44" s="447" t="n">
        <f aca="false">+'Schedule 1 (L)'!E92/8</f>
        <v>1</v>
      </c>
      <c r="F44" s="447" t="n">
        <f aca="false">+'Schedule 1 (L)'!F92/8</f>
        <v>0.625</v>
      </c>
      <c r="G44" s="447" t="n">
        <f aca="false">+'Schedule 1 (L)'!G92/8</f>
        <v>0</v>
      </c>
      <c r="H44" s="447" t="n">
        <f aca="false">+'Schedule 1 (L)'!H92/8</f>
        <v>1</v>
      </c>
      <c r="I44" s="447" t="n">
        <f aca="false">+'Schedule 1 (L)'!I92/8</f>
        <v>0.625</v>
      </c>
      <c r="J44" s="447" t="n">
        <f aca="false">+'Schedule 1 (L)'!J92/8</f>
        <v>0</v>
      </c>
      <c r="K44" s="447" t="n">
        <f aca="false">+'Schedule 1 (L)'!K92/8</f>
        <v>1</v>
      </c>
      <c r="L44" s="447" t="n">
        <f aca="false">+'Schedule 1 (L)'!L92/8</f>
        <v>0.625</v>
      </c>
      <c r="M44" s="447" t="n">
        <f aca="false">+'Schedule 1 (L)'!M92/8</f>
        <v>0</v>
      </c>
      <c r="N44" s="447" t="n">
        <f aca="false">+'Schedule 1 (L)'!N92/8</f>
        <v>0</v>
      </c>
      <c r="O44" s="447" t="n">
        <f aca="false">+'Schedule 1 (L)'!O92/8</f>
        <v>0</v>
      </c>
      <c r="P44" s="447" t="n">
        <f aca="false">+'Schedule 1 (L)'!P92/8</f>
        <v>0</v>
      </c>
      <c r="Q44" s="447" t="n">
        <f aca="false">+'Schedule 1 (L)'!Q92/8</f>
        <v>4</v>
      </c>
      <c r="R44" s="447" t="n">
        <f aca="false">+'Schedule 1 (L)'!R92/8</f>
        <v>2</v>
      </c>
      <c r="S44" s="447" t="n">
        <f aca="false">+'Schedule 1 (L)'!S92/8</f>
        <v>0</v>
      </c>
      <c r="T44" s="92" t="n">
        <f aca="false">+E44+K44+N44+Q44</f>
        <v>6</v>
      </c>
      <c r="U44" s="80" t="n">
        <f aca="false">+F44+G44+I44+J44+L44+M44+O44+P44+R44+S44</f>
        <v>3.875</v>
      </c>
    </row>
    <row r="45" customFormat="false" ht="13.2" hidden="false" customHeight="false" outlineLevel="0" collapsed="false">
      <c r="A45" s="47" t="n">
        <v>35</v>
      </c>
      <c r="B45" s="205" t="n">
        <v>36732</v>
      </c>
      <c r="C45" s="204" t="n">
        <v>1</v>
      </c>
      <c r="D45" s="74" t="n">
        <v>12</v>
      </c>
      <c r="E45" s="447" t="n">
        <f aca="false">+'Schedule 1 (L)'!E93/8</f>
        <v>1</v>
      </c>
      <c r="F45" s="447" t="n">
        <f aca="false">+'Schedule 1 (L)'!F93/8</f>
        <v>0.625</v>
      </c>
      <c r="G45" s="447" t="n">
        <f aca="false">+'Schedule 1 (L)'!G93/8</f>
        <v>0</v>
      </c>
      <c r="H45" s="447" t="n">
        <f aca="false">+'Schedule 1 (L)'!H93/8</f>
        <v>1</v>
      </c>
      <c r="I45" s="447" t="n">
        <f aca="false">+'Schedule 1 (L)'!I93/8</f>
        <v>0.625</v>
      </c>
      <c r="J45" s="447" t="n">
        <f aca="false">+'Schedule 1 (L)'!J93/8</f>
        <v>0</v>
      </c>
      <c r="K45" s="447" t="n">
        <f aca="false">+'Schedule 1 (L)'!K93/8</f>
        <v>1</v>
      </c>
      <c r="L45" s="447" t="n">
        <f aca="false">+'Schedule 1 (L)'!L93/8</f>
        <v>0.625</v>
      </c>
      <c r="M45" s="447" t="n">
        <f aca="false">+'Schedule 1 (L)'!M93/8</f>
        <v>0</v>
      </c>
      <c r="N45" s="447" t="n">
        <f aca="false">+'Schedule 1 (L)'!N93/8</f>
        <v>0</v>
      </c>
      <c r="O45" s="447" t="n">
        <f aca="false">+'Schedule 1 (L)'!O93/8</f>
        <v>0</v>
      </c>
      <c r="P45" s="447" t="n">
        <f aca="false">+'Schedule 1 (L)'!P93/8</f>
        <v>0</v>
      </c>
      <c r="Q45" s="447" t="n">
        <f aca="false">+'Schedule 1 (L)'!Q93/8</f>
        <v>4</v>
      </c>
      <c r="R45" s="447" t="n">
        <f aca="false">+'Schedule 1 (L)'!R93/8</f>
        <v>2</v>
      </c>
      <c r="S45" s="447" t="n">
        <f aca="false">+'Schedule 1 (L)'!S93/8</f>
        <v>0</v>
      </c>
      <c r="T45" s="92" t="n">
        <f aca="false">+E45+K45+N45+Q45</f>
        <v>6</v>
      </c>
      <c r="U45" s="80" t="n">
        <f aca="false">+F45+G45+I45+J45+L45+M45+O45+P45+R45+S45</f>
        <v>3.875</v>
      </c>
    </row>
    <row r="46" customFormat="false" ht="13.2" hidden="false" customHeight="false" outlineLevel="0" collapsed="false">
      <c r="A46" s="47" t="n">
        <v>36</v>
      </c>
      <c r="B46" s="205" t="n">
        <v>36733</v>
      </c>
      <c r="C46" s="204" t="n">
        <v>1</v>
      </c>
      <c r="D46" s="74" t="n">
        <v>12</v>
      </c>
      <c r="E46" s="447" t="n">
        <f aca="false">+'Schedule 1 (L)'!E94/8</f>
        <v>1</v>
      </c>
      <c r="F46" s="447" t="n">
        <f aca="false">+'Schedule 1 (L)'!F94/8</f>
        <v>0</v>
      </c>
      <c r="G46" s="447" t="n">
        <f aca="false">+'Schedule 1 (L)'!G94/8</f>
        <v>0</v>
      </c>
      <c r="H46" s="447" t="n">
        <f aca="false">+'Schedule 1 (L)'!H94/8</f>
        <v>1</v>
      </c>
      <c r="I46" s="447" t="n">
        <f aca="false">+'Schedule 1 (L)'!I94/8</f>
        <v>0.625</v>
      </c>
      <c r="J46" s="447" t="n">
        <f aca="false">+'Schedule 1 (L)'!J94/8</f>
        <v>0</v>
      </c>
      <c r="K46" s="447" t="n">
        <f aca="false">+'Schedule 1 (L)'!K94/8</f>
        <v>1</v>
      </c>
      <c r="L46" s="447" t="n">
        <f aca="false">+'Schedule 1 (L)'!L94/8</f>
        <v>0</v>
      </c>
      <c r="M46" s="447" t="n">
        <f aca="false">+'Schedule 1 (L)'!M94/8</f>
        <v>0</v>
      </c>
      <c r="N46" s="447" t="n">
        <f aca="false">+'Schedule 1 (L)'!N94/8</f>
        <v>0</v>
      </c>
      <c r="O46" s="447" t="n">
        <f aca="false">+'Schedule 1 (L)'!O94/8</f>
        <v>0</v>
      </c>
      <c r="P46" s="447" t="n">
        <f aca="false">+'Schedule 1 (L)'!P94/8</f>
        <v>0</v>
      </c>
      <c r="Q46" s="447" t="n">
        <f aca="false">+'Schedule 1 (L)'!Q94/8</f>
        <v>4</v>
      </c>
      <c r="R46" s="447" t="n">
        <f aca="false">+'Schedule 1 (L)'!R94/8</f>
        <v>2</v>
      </c>
      <c r="S46" s="447" t="n">
        <f aca="false">+'Schedule 1 (L)'!S94/8</f>
        <v>0</v>
      </c>
      <c r="T46" s="92" t="n">
        <f aca="false">+E46+K46+N46+Q46</f>
        <v>6</v>
      </c>
      <c r="U46" s="80" t="n">
        <f aca="false">+F46+G46+I46+J46+L46+M46+O46+P46+R46+S46</f>
        <v>2.625</v>
      </c>
    </row>
    <row r="47" customFormat="false" ht="13.2" hidden="false" customHeight="false" outlineLevel="0" collapsed="false">
      <c r="A47" s="47" t="n">
        <v>37</v>
      </c>
      <c r="B47" s="205" t="n">
        <v>36734</v>
      </c>
      <c r="C47" s="204" t="n">
        <v>1</v>
      </c>
      <c r="D47" s="74" t="n">
        <v>12</v>
      </c>
      <c r="E47" s="447" t="n">
        <f aca="false">+'Schedule 1 (L)'!E95/8</f>
        <v>1</v>
      </c>
      <c r="F47" s="447" t="n">
        <f aca="false">+'Schedule 1 (L)'!F95/8</f>
        <v>0</v>
      </c>
      <c r="G47" s="447" t="n">
        <f aca="false">+'Schedule 1 (L)'!G95/8</f>
        <v>0</v>
      </c>
      <c r="H47" s="447" t="n">
        <f aca="false">+'Schedule 1 (L)'!H95/8</f>
        <v>1</v>
      </c>
      <c r="I47" s="447" t="n">
        <f aca="false">+'Schedule 1 (L)'!I95/8</f>
        <v>0.625</v>
      </c>
      <c r="J47" s="447" t="n">
        <f aca="false">+'Schedule 1 (L)'!J95/8</f>
        <v>0</v>
      </c>
      <c r="K47" s="447" t="n">
        <f aca="false">+'Schedule 1 (L)'!K95/8</f>
        <v>1</v>
      </c>
      <c r="L47" s="447" t="n">
        <f aca="false">+'Schedule 1 (L)'!L95/8</f>
        <v>0</v>
      </c>
      <c r="M47" s="447" t="n">
        <f aca="false">+'Schedule 1 (L)'!M95/8</f>
        <v>0</v>
      </c>
      <c r="N47" s="447" t="n">
        <f aca="false">+'Schedule 1 (L)'!N95/8</f>
        <v>0</v>
      </c>
      <c r="O47" s="447" t="n">
        <f aca="false">+'Schedule 1 (L)'!O95/8</f>
        <v>0</v>
      </c>
      <c r="P47" s="447" t="n">
        <f aca="false">+'Schedule 1 (L)'!P95/8</f>
        <v>0</v>
      </c>
      <c r="Q47" s="447" t="n">
        <f aca="false">+'Schedule 1 (L)'!Q95/8</f>
        <v>4</v>
      </c>
      <c r="R47" s="447" t="n">
        <f aca="false">+'Schedule 1 (L)'!R95/8</f>
        <v>2</v>
      </c>
      <c r="S47" s="447" t="n">
        <f aca="false">+'Schedule 1 (L)'!S95/8</f>
        <v>0</v>
      </c>
      <c r="T47" s="92" t="n">
        <f aca="false">+E47+K47+N47+Q47</f>
        <v>6</v>
      </c>
      <c r="U47" s="80" t="n">
        <f aca="false">+F47+G47+I47+J47+L47+M47+O47+P47+R47+S47</f>
        <v>2.625</v>
      </c>
    </row>
    <row r="48" customFormat="false" ht="13.2" hidden="false" customHeight="false" outlineLevel="0" collapsed="false">
      <c r="A48" s="47" t="n">
        <v>38</v>
      </c>
      <c r="B48" s="205" t="n">
        <v>36735</v>
      </c>
      <c r="C48" s="204" t="n">
        <v>1</v>
      </c>
      <c r="D48" s="74" t="n">
        <v>12</v>
      </c>
      <c r="E48" s="447" t="n">
        <f aca="false">+'Schedule 1 (L)'!E96/8</f>
        <v>1</v>
      </c>
      <c r="F48" s="447" t="n">
        <f aca="false">+'Schedule 1 (L)'!F96/8</f>
        <v>0</v>
      </c>
      <c r="G48" s="447" t="n">
        <f aca="false">+'Schedule 1 (L)'!G96/8</f>
        <v>0</v>
      </c>
      <c r="H48" s="447" t="n">
        <f aca="false">+'Schedule 1 (L)'!H96/8</f>
        <v>1</v>
      </c>
      <c r="I48" s="447" t="n">
        <f aca="false">+'Schedule 1 (L)'!I96/8</f>
        <v>0.625</v>
      </c>
      <c r="J48" s="447" t="n">
        <f aca="false">+'Schedule 1 (L)'!J96/8</f>
        <v>0</v>
      </c>
      <c r="K48" s="447" t="n">
        <f aca="false">+'Schedule 1 (L)'!K96/8</f>
        <v>1</v>
      </c>
      <c r="L48" s="447" t="n">
        <f aca="false">+'Schedule 1 (L)'!L96/8</f>
        <v>0</v>
      </c>
      <c r="M48" s="447" t="n">
        <f aca="false">+'Schedule 1 (L)'!M96/8</f>
        <v>0</v>
      </c>
      <c r="N48" s="447" t="n">
        <f aca="false">+'Schedule 1 (L)'!N96/8</f>
        <v>0</v>
      </c>
      <c r="O48" s="447" t="n">
        <f aca="false">+'Schedule 1 (L)'!O96/8</f>
        <v>0</v>
      </c>
      <c r="P48" s="447" t="n">
        <f aca="false">+'Schedule 1 (L)'!P96/8</f>
        <v>0</v>
      </c>
      <c r="Q48" s="447" t="n">
        <f aca="false">+'Schedule 1 (L)'!Q96/8</f>
        <v>4</v>
      </c>
      <c r="R48" s="447" t="n">
        <f aca="false">+'Schedule 1 (L)'!R96/8</f>
        <v>2</v>
      </c>
      <c r="S48" s="447" t="n">
        <f aca="false">+'Schedule 1 (L)'!S96/8</f>
        <v>0</v>
      </c>
      <c r="T48" s="92" t="n">
        <f aca="false">+E48+K48+N48+Q48</f>
        <v>6</v>
      </c>
      <c r="U48" s="80" t="n">
        <f aca="false">+F48+G48+I48+J48+L48+M48+O48+P48+R48+S48</f>
        <v>2.625</v>
      </c>
    </row>
    <row r="49" customFormat="false" ht="13.2" hidden="false" customHeight="false" outlineLevel="0" collapsed="false">
      <c r="A49" s="47" t="n">
        <v>39</v>
      </c>
      <c r="B49" s="205" t="n">
        <v>36736</v>
      </c>
      <c r="C49" s="204" t="n">
        <v>1</v>
      </c>
      <c r="D49" s="74" t="n">
        <v>12</v>
      </c>
      <c r="E49" s="447" t="n">
        <f aca="false">+'Schedule 1 (L)'!E97/8</f>
        <v>0</v>
      </c>
      <c r="F49" s="447" t="n">
        <f aca="false">+'Schedule 1 (L)'!F97/8</f>
        <v>0</v>
      </c>
      <c r="G49" s="447" t="n">
        <f aca="false">+'Schedule 1 (L)'!G97/8</f>
        <v>0</v>
      </c>
      <c r="H49" s="447" t="n">
        <f aca="false">+'Schedule 1 (L)'!H97/8</f>
        <v>0</v>
      </c>
      <c r="I49" s="447" t="n">
        <f aca="false">+'Schedule 1 (L)'!I97/8</f>
        <v>1.625</v>
      </c>
      <c r="J49" s="447" t="n">
        <f aca="false">+'Schedule 1 (L)'!J97/8</f>
        <v>0</v>
      </c>
      <c r="K49" s="447" t="n">
        <f aca="false">+'Schedule 1 (L)'!K97/8</f>
        <v>0</v>
      </c>
      <c r="L49" s="447" t="n">
        <f aca="false">+'Schedule 1 (L)'!L97/8</f>
        <v>0</v>
      </c>
      <c r="M49" s="447" t="n">
        <f aca="false">+'Schedule 1 (L)'!M97/8</f>
        <v>0</v>
      </c>
      <c r="N49" s="447" t="n">
        <f aca="false">+'Schedule 1 (L)'!N97/8</f>
        <v>0</v>
      </c>
      <c r="O49" s="447" t="n">
        <f aca="false">+'Schedule 1 (L)'!O97/8</f>
        <v>0</v>
      </c>
      <c r="P49" s="447" t="n">
        <f aca="false">+'Schedule 1 (L)'!P97/8</f>
        <v>0</v>
      </c>
      <c r="Q49" s="447" t="n">
        <f aca="false">+'Schedule 1 (L)'!Q97/8</f>
        <v>0</v>
      </c>
      <c r="R49" s="447" t="n">
        <f aca="false">+'Schedule 1 (L)'!R97/8</f>
        <v>6</v>
      </c>
      <c r="S49" s="447" t="n">
        <f aca="false">+'Schedule 1 (L)'!S97/8</f>
        <v>0</v>
      </c>
      <c r="T49" s="92" t="n">
        <f aca="false">+E49+K49+N49+Q49</f>
        <v>0</v>
      </c>
      <c r="U49" s="80" t="n">
        <f aca="false">+F49+G49+I49+J49+L49+M49+O49+P49+R49+S49</f>
        <v>7.625</v>
      </c>
      <c r="X49" s="92"/>
    </row>
    <row r="50" customFormat="false" ht="13.2" hidden="false" customHeight="false" outlineLevel="0" collapsed="false">
      <c r="A50" s="47" t="n">
        <v>40</v>
      </c>
      <c r="B50" s="205" t="n">
        <v>36737</v>
      </c>
      <c r="C50" s="204" t="n">
        <v>1</v>
      </c>
      <c r="D50" s="74" t="n">
        <v>12</v>
      </c>
      <c r="E50" s="447" t="n">
        <f aca="false">+'Schedule 1 (L)'!E98/8</f>
        <v>0</v>
      </c>
      <c r="F50" s="447" t="n">
        <f aca="false">+'Schedule 1 (L)'!F98/8</f>
        <v>0</v>
      </c>
      <c r="G50" s="447" t="n">
        <f aca="false">+'Schedule 1 (L)'!G98/8</f>
        <v>0</v>
      </c>
      <c r="H50" s="447" t="n">
        <f aca="false">+'Schedule 1 (L)'!H98/8</f>
        <v>0</v>
      </c>
      <c r="I50" s="447" t="n">
        <f aca="false">+'Schedule 1 (L)'!I98/8</f>
        <v>0</v>
      </c>
      <c r="J50" s="447" t="n">
        <f aca="false">+'Schedule 1 (L)'!J98/8</f>
        <v>1.625</v>
      </c>
      <c r="K50" s="447" t="n">
        <f aca="false">+'Schedule 1 (L)'!K98/8</f>
        <v>0</v>
      </c>
      <c r="L50" s="447" t="n">
        <f aca="false">+'Schedule 1 (L)'!L98/8</f>
        <v>0</v>
      </c>
      <c r="M50" s="447" t="n">
        <f aca="false">+'Schedule 1 (L)'!M98/8</f>
        <v>0</v>
      </c>
      <c r="N50" s="447" t="n">
        <f aca="false">+'Schedule 1 (L)'!N98/8</f>
        <v>0</v>
      </c>
      <c r="O50" s="447" t="n">
        <f aca="false">+'Schedule 1 (L)'!O98/8</f>
        <v>0</v>
      </c>
      <c r="P50" s="447" t="n">
        <f aca="false">+'Schedule 1 (L)'!P98/8</f>
        <v>0</v>
      </c>
      <c r="Q50" s="447" t="n">
        <f aca="false">+'Schedule 1 (L)'!Q98/8</f>
        <v>0</v>
      </c>
      <c r="R50" s="447" t="n">
        <f aca="false">+'Schedule 1 (L)'!R98/8</f>
        <v>0</v>
      </c>
      <c r="S50" s="447" t="n">
        <f aca="false">+'Schedule 1 (L)'!S98/8</f>
        <v>6</v>
      </c>
      <c r="T50" s="92" t="n">
        <f aca="false">+E50+K50+N50+Q50</f>
        <v>0</v>
      </c>
      <c r="U50" s="80" t="n">
        <f aca="false">+F50+G50+I50+J50+L50+M50+O50+P50+R50+S50</f>
        <v>7.625</v>
      </c>
      <c r="X50" s="92"/>
    </row>
    <row r="51" customFormat="false" ht="6.75" hidden="false" customHeight="true" outlineLevel="0" collapsed="false">
      <c r="E51" s="241"/>
      <c r="F51" s="241"/>
      <c r="G51" s="242"/>
      <c r="H51" s="240"/>
      <c r="I51" s="241"/>
      <c r="J51" s="242"/>
      <c r="K51" s="243"/>
      <c r="L51" s="244"/>
      <c r="M51" s="245"/>
      <c r="N51" s="243"/>
      <c r="O51" s="244"/>
      <c r="P51" s="245"/>
      <c r="Q51" s="243"/>
      <c r="R51" s="244"/>
      <c r="S51" s="245"/>
      <c r="T51" s="92"/>
      <c r="U51" s="80"/>
      <c r="X51" s="92"/>
    </row>
    <row r="52" customFormat="false" ht="13.2" hidden="false" customHeight="false" outlineLevel="0" collapsed="false">
      <c r="B52" s="73" t="s">
        <v>156</v>
      </c>
      <c r="C52" s="82"/>
      <c r="D52" s="82"/>
      <c r="E52" s="203" t="n">
        <f aca="false">SUM(E11:E51)</f>
        <v>24</v>
      </c>
      <c r="F52" s="203" t="n">
        <f aca="false">SUM(F11:F51)</f>
        <v>19.875</v>
      </c>
      <c r="G52" s="203" t="n">
        <f aca="false">SUM(G11:G51)</f>
        <v>9.75</v>
      </c>
      <c r="H52" s="203" t="n">
        <f aca="false">SUM(H11:H51)</f>
        <v>16</v>
      </c>
      <c r="I52" s="203" t="n">
        <f aca="false">SUM(I11:I51)</f>
        <v>13.625</v>
      </c>
      <c r="J52" s="203" t="n">
        <f aca="false">SUM(J11:J51)</f>
        <v>4.875</v>
      </c>
      <c r="K52" s="203" t="n">
        <f aca="false">SUM(K11:K51)</f>
        <v>27</v>
      </c>
      <c r="L52" s="203" t="n">
        <f aca="false">SUM(L11:L51)</f>
        <v>22.875</v>
      </c>
      <c r="M52" s="203" t="n">
        <f aca="false">SUM(M11:M51)</f>
        <v>9.75</v>
      </c>
      <c r="N52" s="203" t="n">
        <f aca="false">SUM(N11:N51)</f>
        <v>40.5</v>
      </c>
      <c r="O52" s="203" t="n">
        <f aca="false">SUM(O11:O51)</f>
        <v>38.75</v>
      </c>
      <c r="P52" s="203" t="n">
        <f aca="false">SUM(P11:P51)</f>
        <v>16.25</v>
      </c>
      <c r="Q52" s="203" t="n">
        <f aca="false">SUM(Q11:Q51)</f>
        <v>240.75</v>
      </c>
      <c r="R52" s="203" t="n">
        <f aca="false">SUM(R11:R51)</f>
        <v>194.125</v>
      </c>
      <c r="S52" s="203" t="n">
        <f aca="false">SUM(S11:S51)</f>
        <v>98</v>
      </c>
      <c r="T52" s="203" t="n">
        <f aca="false">SUM(T11:T51)</f>
        <v>332.25</v>
      </c>
      <c r="U52" s="75" t="n">
        <f aca="false">SUM(U11:U51)</f>
        <v>427.875</v>
      </c>
      <c r="X52" s="92"/>
    </row>
    <row r="53" customFormat="false" ht="13.2" hidden="false" customHeight="false" outlineLevel="0" collapsed="false">
      <c r="B53" s="73" t="s">
        <v>199</v>
      </c>
      <c r="C53" s="246"/>
      <c r="D53" s="246"/>
      <c r="E53" s="75" t="n">
        <v>85</v>
      </c>
      <c r="F53" s="75" t="n">
        <v>95</v>
      </c>
      <c r="G53" s="80" t="n">
        <v>125</v>
      </c>
      <c r="H53" s="75" t="n">
        <v>100</v>
      </c>
      <c r="I53" s="75" t="n">
        <v>150</v>
      </c>
      <c r="J53" s="80" t="n">
        <v>200</v>
      </c>
      <c r="K53" s="80" t="n">
        <v>52</v>
      </c>
      <c r="L53" s="80" t="n">
        <v>65.5</v>
      </c>
      <c r="M53" s="80" t="n">
        <v>81</v>
      </c>
      <c r="N53" s="80" t="n">
        <v>48</v>
      </c>
      <c r="O53" s="80" t="n">
        <v>63</v>
      </c>
      <c r="P53" s="80" t="n">
        <v>77.5</v>
      </c>
      <c r="Q53" s="80" t="n">
        <v>46</v>
      </c>
      <c r="R53" s="80" t="n">
        <v>59</v>
      </c>
      <c r="S53" s="80" t="n">
        <v>72.5</v>
      </c>
      <c r="T53" s="80"/>
      <c r="U53" s="80"/>
      <c r="X53" s="92"/>
    </row>
    <row r="54" customFormat="false" ht="13.2" hidden="false" customHeight="false" outlineLevel="0" collapsed="false">
      <c r="B54" s="201" t="s">
        <v>166</v>
      </c>
      <c r="C54" s="74"/>
      <c r="D54" s="61" t="s">
        <v>158</v>
      </c>
      <c r="E54" s="92"/>
      <c r="F54" s="202" t="s">
        <v>837</v>
      </c>
      <c r="G54" s="92"/>
      <c r="H54" s="91"/>
      <c r="I54" s="202" t="s">
        <v>838</v>
      </c>
      <c r="J54" s="92"/>
      <c r="K54" s="92"/>
      <c r="L54" s="202" t="s">
        <v>839</v>
      </c>
      <c r="M54" s="92"/>
      <c r="N54" s="92"/>
      <c r="O54" s="202" t="s">
        <v>844</v>
      </c>
      <c r="P54" s="92"/>
      <c r="Q54" s="203" t="s">
        <v>845</v>
      </c>
      <c r="R54" s="75" t="s">
        <v>143</v>
      </c>
      <c r="S54" s="449" t="n">
        <f aca="false">+Q56+Q57+Q58+Q78+Q79+18+18+Q82+Q83+Q84+Q85+Q86</f>
        <v>194</v>
      </c>
    </row>
    <row r="55" customFormat="false" ht="13.2" hidden="false" customHeight="false" outlineLevel="0" collapsed="false">
      <c r="E55" s="203" t="s">
        <v>190</v>
      </c>
      <c r="F55" s="203" t="s">
        <v>191</v>
      </c>
      <c r="G55" s="203" t="s">
        <v>192</v>
      </c>
      <c r="H55" s="203" t="s">
        <v>190</v>
      </c>
      <c r="I55" s="203" t="s">
        <v>191</v>
      </c>
      <c r="J55" s="203" t="s">
        <v>192</v>
      </c>
      <c r="K55" s="203" t="s">
        <v>190</v>
      </c>
      <c r="L55" s="203" t="s">
        <v>193</v>
      </c>
      <c r="M55" s="203" t="s">
        <v>192</v>
      </c>
      <c r="N55" s="203" t="s">
        <v>190</v>
      </c>
      <c r="O55" s="203" t="s">
        <v>194</v>
      </c>
      <c r="P55" s="203" t="s">
        <v>195</v>
      </c>
      <c r="Q55" s="203" t="s">
        <v>842</v>
      </c>
      <c r="R55" s="203" t="s">
        <v>843</v>
      </c>
      <c r="S55" s="92" t="n">
        <f aca="false">+S54+S6</f>
        <v>389</v>
      </c>
      <c r="T55" s="74"/>
      <c r="U55" s="74"/>
      <c r="V55" s="92"/>
      <c r="W55" s="92"/>
    </row>
    <row r="56" customFormat="false" ht="13.2" hidden="false" customHeight="false" outlineLevel="0" collapsed="false">
      <c r="A56" s="47" t="n">
        <v>1</v>
      </c>
      <c r="B56" s="205" t="n">
        <v>36698</v>
      </c>
      <c r="C56" s="204" t="n">
        <v>1</v>
      </c>
      <c r="D56" s="204" t="n">
        <v>14</v>
      </c>
      <c r="E56" s="450" t="n">
        <f aca="false">+'Schedule 1 (L)'!E111/8</f>
        <v>0</v>
      </c>
      <c r="F56" s="450" t="n">
        <f aca="false">+'Schedule 1 (L)'!F111/8</f>
        <v>0</v>
      </c>
      <c r="G56" s="450" t="n">
        <f aca="false">+'Schedule 1 (L)'!G111/8</f>
        <v>0</v>
      </c>
      <c r="H56" s="450" t="n">
        <f aca="false">+'Schedule 1 (L)'!H111/8</f>
        <v>1</v>
      </c>
      <c r="I56" s="450" t="n">
        <f aca="false">+'Schedule 1 (L)'!I111/8</f>
        <v>0</v>
      </c>
      <c r="J56" s="450" t="n">
        <f aca="false">+'Schedule 1 (L)'!J111/8</f>
        <v>0</v>
      </c>
      <c r="K56" s="450" t="n">
        <f aca="false">+'Schedule 1 (L)'!K111/8</f>
        <v>2</v>
      </c>
      <c r="L56" s="450" t="n">
        <f aca="false">+'Schedule 1 (L)'!L111/8</f>
        <v>0</v>
      </c>
      <c r="M56" s="450" t="n">
        <f aca="false">+'Schedule 1 (L)'!M111/8</f>
        <v>0</v>
      </c>
      <c r="N56" s="450" t="n">
        <f aca="false">+'Schedule 1 (L)'!N111/8</f>
        <v>7</v>
      </c>
      <c r="O56" s="450" t="n">
        <f aca="false">+'Schedule 1 (L)'!O111/8</f>
        <v>0</v>
      </c>
      <c r="P56" s="450" t="n">
        <f aca="false">+'Schedule 1 (L)'!P111/8</f>
        <v>0</v>
      </c>
      <c r="Q56" s="448" t="n">
        <f aca="false">+E56+H56+K56+N56</f>
        <v>10</v>
      </c>
      <c r="R56" s="80" t="n">
        <f aca="false">+F56+G56+I56+J56+L56+M56+O56+P56</f>
        <v>0</v>
      </c>
      <c r="S56" s="74"/>
      <c r="T56" s="74"/>
      <c r="U56" s="74"/>
    </row>
    <row r="57" customFormat="false" ht="13.2" hidden="false" customHeight="false" outlineLevel="0" collapsed="false">
      <c r="A57" s="47" t="n">
        <v>2</v>
      </c>
      <c r="B57" s="205" t="n">
        <v>36699</v>
      </c>
      <c r="C57" s="204" t="n">
        <v>1</v>
      </c>
      <c r="D57" s="204" t="n">
        <v>14</v>
      </c>
      <c r="E57" s="450" t="n">
        <f aca="false">+'Schedule 1 (L)'!E112/8</f>
        <v>0</v>
      </c>
      <c r="F57" s="450" t="n">
        <f aca="false">+'Schedule 1 (L)'!F112/8</f>
        <v>0</v>
      </c>
      <c r="G57" s="450" t="n">
        <f aca="false">+'Schedule 1 (L)'!G112/8</f>
        <v>0</v>
      </c>
      <c r="H57" s="450" t="n">
        <f aca="false">+'Schedule 1 (L)'!H112/8</f>
        <v>1</v>
      </c>
      <c r="I57" s="450" t="n">
        <f aca="false">+'Schedule 1 (L)'!I112/8</f>
        <v>0.875</v>
      </c>
      <c r="J57" s="450" t="n">
        <f aca="false">+'Schedule 1 (L)'!J112/8</f>
        <v>0</v>
      </c>
      <c r="K57" s="450" t="n">
        <f aca="false">+'Schedule 1 (L)'!K112/8</f>
        <v>2</v>
      </c>
      <c r="L57" s="450" t="n">
        <f aca="false">+'Schedule 1 (L)'!L112/8</f>
        <v>1.625</v>
      </c>
      <c r="M57" s="450" t="n">
        <f aca="false">+'Schedule 1 (L)'!M112/8</f>
        <v>0</v>
      </c>
      <c r="N57" s="450" t="n">
        <f aca="false">+'Schedule 1 (L)'!N112/8</f>
        <v>11</v>
      </c>
      <c r="O57" s="450" t="n">
        <f aca="false">+'Schedule 1 (L)'!O112/8</f>
        <v>5.25</v>
      </c>
      <c r="P57" s="450" t="n">
        <f aca="false">+'Schedule 1 (L)'!P112/8</f>
        <v>0</v>
      </c>
      <c r="Q57" s="448" t="n">
        <f aca="false">+E57+H57+K57+N57</f>
        <v>14</v>
      </c>
      <c r="R57" s="80" t="n">
        <f aca="false">+F57+G57+I57+J57+L57+M57+O57+P57</f>
        <v>7.75</v>
      </c>
      <c r="S57" s="74"/>
      <c r="T57" s="74"/>
      <c r="U57" s="74"/>
    </row>
    <row r="58" customFormat="false" ht="13.2" hidden="false" customHeight="false" outlineLevel="0" collapsed="false">
      <c r="A58" s="47" t="n">
        <v>3</v>
      </c>
      <c r="B58" s="205" t="n">
        <v>36700</v>
      </c>
      <c r="C58" s="204" t="n">
        <v>1</v>
      </c>
      <c r="D58" s="204" t="n">
        <v>14</v>
      </c>
      <c r="E58" s="450" t="n">
        <f aca="false">+'Schedule 1 (L)'!E113/8</f>
        <v>0</v>
      </c>
      <c r="F58" s="450" t="n">
        <f aca="false">+'Schedule 1 (L)'!F113/8</f>
        <v>0</v>
      </c>
      <c r="G58" s="450" t="n">
        <f aca="false">+'Schedule 1 (L)'!G113/8</f>
        <v>0</v>
      </c>
      <c r="H58" s="450" t="n">
        <f aca="false">+'Schedule 1 (L)'!H113/8</f>
        <v>1</v>
      </c>
      <c r="I58" s="450" t="n">
        <f aca="false">+'Schedule 1 (L)'!I113/8</f>
        <v>0.875</v>
      </c>
      <c r="J58" s="450" t="n">
        <f aca="false">+'Schedule 1 (L)'!J113/8</f>
        <v>0</v>
      </c>
      <c r="K58" s="450" t="n">
        <f aca="false">+'Schedule 1 (L)'!K113/8</f>
        <v>2</v>
      </c>
      <c r="L58" s="450" t="n">
        <f aca="false">+'Schedule 1 (L)'!L113/8</f>
        <v>1.25</v>
      </c>
      <c r="M58" s="450" t="n">
        <f aca="false">+'Schedule 1 (L)'!M113/8</f>
        <v>0</v>
      </c>
      <c r="N58" s="450" t="n">
        <f aca="false">+'Schedule 1 (L)'!N113/8</f>
        <v>11</v>
      </c>
      <c r="O58" s="450" t="n">
        <f aca="false">+'Schedule 1 (L)'!O113/8</f>
        <v>5.5</v>
      </c>
      <c r="P58" s="450" t="n">
        <f aca="false">+'Schedule 1 (L)'!P113/8</f>
        <v>0</v>
      </c>
      <c r="Q58" s="448" t="n">
        <f aca="false">+E58+H58+K58+N58</f>
        <v>14</v>
      </c>
      <c r="R58" s="80" t="n">
        <f aca="false">+F58+G58+I58+J58+L58+M58+O58+P58</f>
        <v>7.625</v>
      </c>
      <c r="S58" s="74"/>
      <c r="T58" s="74"/>
      <c r="U58" s="74"/>
    </row>
    <row r="59" customFormat="false" ht="13.2" hidden="false" customHeight="false" outlineLevel="0" collapsed="false">
      <c r="A59" s="47" t="n">
        <v>4</v>
      </c>
      <c r="B59" s="205" t="n">
        <v>36701</v>
      </c>
      <c r="C59" s="204" t="n">
        <v>1</v>
      </c>
      <c r="D59" s="204" t="n">
        <v>14</v>
      </c>
      <c r="E59" s="450" t="n">
        <f aca="false">+'Schedule 1 (L)'!E114/8</f>
        <v>0</v>
      </c>
      <c r="F59" s="450" t="n">
        <f aca="false">+'Schedule 1 (L)'!F114/8</f>
        <v>0</v>
      </c>
      <c r="G59" s="450" t="n">
        <f aca="false">+'Schedule 1 (L)'!G114/8</f>
        <v>0</v>
      </c>
      <c r="H59" s="450" t="n">
        <f aca="false">+'Schedule 1 (L)'!H114/8</f>
        <v>0</v>
      </c>
      <c r="I59" s="450" t="n">
        <f aca="false">+'Schedule 1 (L)'!I114/8</f>
        <v>1.625</v>
      </c>
      <c r="J59" s="450" t="n">
        <f aca="false">+'Schedule 1 (L)'!J114/8</f>
        <v>0</v>
      </c>
      <c r="K59" s="450" t="n">
        <f aca="false">+'Schedule 1 (L)'!K114/8</f>
        <v>0</v>
      </c>
      <c r="L59" s="450" t="n">
        <f aca="false">+'Schedule 1 (L)'!L114/8</f>
        <v>1.625</v>
      </c>
      <c r="M59" s="450" t="n">
        <f aca="false">+'Schedule 1 (L)'!M114/8</f>
        <v>0</v>
      </c>
      <c r="N59" s="450" t="n">
        <f aca="false">+'Schedule 1 (L)'!N114/8</f>
        <v>0</v>
      </c>
      <c r="O59" s="450" t="n">
        <f aca="false">+'Schedule 1 (L)'!O114/8</f>
        <v>12</v>
      </c>
      <c r="P59" s="450" t="n">
        <f aca="false">+'Schedule 1 (L)'!P114/8</f>
        <v>0</v>
      </c>
      <c r="Q59" s="92" t="n">
        <f aca="false">+E59+H59+K59+N59</f>
        <v>0</v>
      </c>
      <c r="R59" s="80" t="n">
        <f aca="false">+F59+G59+I59+J59+L59+M59+O59+P59</f>
        <v>15.25</v>
      </c>
      <c r="S59" s="74"/>
      <c r="T59" s="92"/>
      <c r="U59" s="74"/>
    </row>
    <row r="60" customFormat="false" ht="13.2" hidden="false" customHeight="false" outlineLevel="0" collapsed="false">
      <c r="A60" s="47" t="n">
        <v>5</v>
      </c>
      <c r="B60" s="205" t="n">
        <v>36702</v>
      </c>
      <c r="C60" s="204" t="n">
        <v>1</v>
      </c>
      <c r="D60" s="204" t="n">
        <v>15</v>
      </c>
      <c r="E60" s="450" t="n">
        <f aca="false">+'Schedule 1 (L)'!E115/8</f>
        <v>0</v>
      </c>
      <c r="F60" s="450" t="n">
        <f aca="false">+'Schedule 1 (L)'!F115/8</f>
        <v>0</v>
      </c>
      <c r="G60" s="450" t="n">
        <f aca="false">+'Schedule 1 (L)'!G115/8</f>
        <v>0</v>
      </c>
      <c r="H60" s="450" t="n">
        <f aca="false">+'Schedule 1 (L)'!H115/8</f>
        <v>0</v>
      </c>
      <c r="I60" s="450" t="n">
        <f aca="false">+'Schedule 1 (L)'!I115/8</f>
        <v>0</v>
      </c>
      <c r="J60" s="450" t="n">
        <f aca="false">+'Schedule 1 (L)'!J115/8</f>
        <v>1.625</v>
      </c>
      <c r="K60" s="450" t="n">
        <f aca="false">+'Schedule 1 (L)'!K115/8</f>
        <v>0</v>
      </c>
      <c r="L60" s="450" t="n">
        <f aca="false">+'Schedule 1 (L)'!L115/8</f>
        <v>0</v>
      </c>
      <c r="M60" s="450" t="n">
        <f aca="false">+'Schedule 1 (L)'!M115/8</f>
        <v>3.25</v>
      </c>
      <c r="N60" s="450" t="n">
        <f aca="false">+'Schedule 1 (L)'!N115/8</f>
        <v>0</v>
      </c>
      <c r="O60" s="450" t="n">
        <f aca="false">+'Schedule 1 (L)'!O115/8</f>
        <v>0</v>
      </c>
      <c r="P60" s="450" t="n">
        <f aca="false">+'Schedule 1 (L)'!P115/8</f>
        <v>16.5</v>
      </c>
      <c r="Q60" s="92" t="n">
        <f aca="false">+E60+H60+K60+N60</f>
        <v>0</v>
      </c>
      <c r="R60" s="80" t="n">
        <f aca="false">+F60+G60+I60+J60+L60+M60+O60+P60</f>
        <v>21.375</v>
      </c>
      <c r="S60" s="74"/>
      <c r="T60" s="92"/>
      <c r="U60" s="74"/>
    </row>
    <row r="61" customFormat="false" ht="13.2" hidden="false" customHeight="false" outlineLevel="0" collapsed="false">
      <c r="A61" s="47" t="n">
        <v>6</v>
      </c>
      <c r="B61" s="205" t="n">
        <v>36703</v>
      </c>
      <c r="C61" s="204" t="n">
        <v>1</v>
      </c>
      <c r="D61" s="204" t="n">
        <v>16</v>
      </c>
      <c r="E61" s="450" t="n">
        <f aca="false">+'Schedule 1 (L)'!E116/8</f>
        <v>0</v>
      </c>
      <c r="F61" s="450" t="n">
        <f aca="false">+'Schedule 1 (L)'!F116/8</f>
        <v>0</v>
      </c>
      <c r="G61" s="450" t="n">
        <f aca="false">+'Schedule 1 (L)'!G116/8</f>
        <v>0</v>
      </c>
      <c r="H61" s="450" t="n">
        <f aca="false">+'Schedule 1 (L)'!H116/8</f>
        <v>1</v>
      </c>
      <c r="I61" s="450" t="n">
        <f aca="false">+'Schedule 1 (L)'!I116/8</f>
        <v>0.625</v>
      </c>
      <c r="J61" s="450" t="n">
        <f aca="false">+'Schedule 1 (L)'!J116/8</f>
        <v>0</v>
      </c>
      <c r="K61" s="450" t="n">
        <f aca="false">+'Schedule 1 (L)'!K116/8</f>
        <v>2</v>
      </c>
      <c r="L61" s="450" t="n">
        <f aca="false">+'Schedule 1 (L)'!L116/8</f>
        <v>1.25</v>
      </c>
      <c r="M61" s="450" t="n">
        <f aca="false">+'Schedule 1 (L)'!M116/8</f>
        <v>0</v>
      </c>
      <c r="N61" s="450" t="n">
        <f aca="false">+'Schedule 1 (L)'!N116/8</f>
        <v>14</v>
      </c>
      <c r="O61" s="450" t="n">
        <f aca="false">+'Schedule 1 (L)'!O116/8</f>
        <v>7</v>
      </c>
      <c r="P61" s="450" t="n">
        <f aca="false">+'Schedule 1 (L)'!P116/8</f>
        <v>0</v>
      </c>
      <c r="Q61" s="92" t="n">
        <f aca="false">+E61+H61+K61+N61</f>
        <v>17</v>
      </c>
      <c r="R61" s="80" t="n">
        <f aca="false">+F61+G61+I61+J61+L61+M61+O61+P61</f>
        <v>8.875</v>
      </c>
      <c r="S61" s="74"/>
      <c r="T61" s="92"/>
      <c r="U61" s="74"/>
    </row>
    <row r="62" customFormat="false" ht="13.2" hidden="false" customHeight="false" outlineLevel="0" collapsed="false">
      <c r="A62" s="47" t="n">
        <v>7</v>
      </c>
      <c r="B62" s="205" t="n">
        <v>36704</v>
      </c>
      <c r="C62" s="204" t="n">
        <v>1</v>
      </c>
      <c r="D62" s="204" t="n">
        <v>16</v>
      </c>
      <c r="E62" s="450" t="n">
        <f aca="false">+'Schedule 1 (L)'!E117/8</f>
        <v>0</v>
      </c>
      <c r="F62" s="450" t="n">
        <f aca="false">+'Schedule 1 (L)'!F117/8</f>
        <v>0</v>
      </c>
      <c r="G62" s="450" t="n">
        <f aca="false">+'Schedule 1 (L)'!G117/8</f>
        <v>0</v>
      </c>
      <c r="H62" s="450" t="n">
        <f aca="false">+'Schedule 1 (L)'!H117/8</f>
        <v>1</v>
      </c>
      <c r="I62" s="450" t="n">
        <f aca="false">+'Schedule 1 (L)'!I117/8</f>
        <v>0.625</v>
      </c>
      <c r="J62" s="450" t="n">
        <f aca="false">+'Schedule 1 (L)'!J117/8</f>
        <v>0</v>
      </c>
      <c r="K62" s="450" t="n">
        <f aca="false">+'Schedule 1 (L)'!K117/8</f>
        <v>1</v>
      </c>
      <c r="L62" s="450" t="n">
        <f aca="false">+'Schedule 1 (L)'!L117/8</f>
        <v>0.625</v>
      </c>
      <c r="M62" s="450" t="n">
        <f aca="false">+'Schedule 1 (L)'!M117/8</f>
        <v>0</v>
      </c>
      <c r="N62" s="450" t="n">
        <f aca="false">+'Schedule 1 (L)'!N117/8</f>
        <v>9</v>
      </c>
      <c r="O62" s="450" t="n">
        <f aca="false">+'Schedule 1 (L)'!O117/8</f>
        <v>4.5</v>
      </c>
      <c r="P62" s="450" t="n">
        <f aca="false">+'Schedule 1 (L)'!P117/8</f>
        <v>0</v>
      </c>
      <c r="Q62" s="92" t="n">
        <f aca="false">+E62+H62+K62+N62</f>
        <v>11</v>
      </c>
      <c r="R62" s="80" t="n">
        <f aca="false">+F62+G62+I62+J62+L62+M62+O62+P62</f>
        <v>5.75</v>
      </c>
      <c r="S62" s="74"/>
      <c r="T62" s="92"/>
      <c r="U62" s="74"/>
    </row>
    <row r="63" customFormat="false" ht="13.2" hidden="false" customHeight="false" outlineLevel="0" collapsed="false">
      <c r="A63" s="47" t="n">
        <v>8</v>
      </c>
      <c r="B63" s="205" t="n">
        <v>36705</v>
      </c>
      <c r="C63" s="204" t="n">
        <v>1</v>
      </c>
      <c r="D63" s="204" t="n">
        <v>16</v>
      </c>
      <c r="E63" s="450" t="n">
        <f aca="false">+'Schedule 1 (L)'!E118/8</f>
        <v>0</v>
      </c>
      <c r="F63" s="450" t="n">
        <f aca="false">+'Schedule 1 (L)'!F118/8</f>
        <v>0</v>
      </c>
      <c r="G63" s="450" t="n">
        <v>0</v>
      </c>
      <c r="H63" s="450" t="n">
        <f aca="false">+'Schedule 1 (L)'!H118/8</f>
        <v>1</v>
      </c>
      <c r="I63" s="450" t="n">
        <f aca="false">+'Schedule 1 (L)'!I118/8</f>
        <v>0.625</v>
      </c>
      <c r="J63" s="450" t="n">
        <f aca="false">+'Schedule 1 (L)'!J118/8</f>
        <v>0</v>
      </c>
      <c r="K63" s="450" t="n">
        <f aca="false">+'Schedule 1 (L)'!K118/8</f>
        <v>2</v>
      </c>
      <c r="L63" s="450" t="n">
        <f aca="false">+'Schedule 1 (L)'!L118/8</f>
        <v>1.25</v>
      </c>
      <c r="M63" s="450" t="n">
        <f aca="false">+'Schedule 1 (L)'!M118/8</f>
        <v>0</v>
      </c>
      <c r="N63" s="450" t="n">
        <f aca="false">+'Schedule 1 (L)'!N118/8</f>
        <v>14</v>
      </c>
      <c r="O63" s="450" t="n">
        <f aca="false">+'Schedule 1 (L)'!O118/8</f>
        <v>7</v>
      </c>
      <c r="P63" s="450" t="n">
        <f aca="false">+'Schedule 1 (L)'!P118/8</f>
        <v>0</v>
      </c>
      <c r="Q63" s="92" t="n">
        <f aca="false">+E63+H63+K63+N63</f>
        <v>17</v>
      </c>
      <c r="R63" s="80" t="n">
        <f aca="false">+F63+G63+I63+J63+L63+M63+O63+P63</f>
        <v>8.875</v>
      </c>
      <c r="S63" s="74"/>
      <c r="T63" s="92"/>
      <c r="U63" s="74"/>
    </row>
    <row r="64" customFormat="false" ht="13.2" hidden="false" customHeight="false" outlineLevel="0" collapsed="false">
      <c r="A64" s="47" t="n">
        <v>9</v>
      </c>
      <c r="B64" s="205" t="n">
        <v>36706</v>
      </c>
      <c r="C64" s="204" t="n">
        <v>1</v>
      </c>
      <c r="D64" s="204" t="n">
        <v>16</v>
      </c>
      <c r="E64" s="450" t="n">
        <f aca="false">+'Schedule 1 (L)'!E119/8</f>
        <v>0</v>
      </c>
      <c r="F64" s="450" t="n">
        <f aca="false">+'Schedule 1 (L)'!F119/8</f>
        <v>0</v>
      </c>
      <c r="G64" s="450" t="n">
        <v>0</v>
      </c>
      <c r="H64" s="450" t="n">
        <f aca="false">+'Schedule 1 (L)'!H119/8</f>
        <v>1</v>
      </c>
      <c r="I64" s="450" t="n">
        <f aca="false">+'Schedule 1 (L)'!I119/8</f>
        <v>0.625</v>
      </c>
      <c r="J64" s="450" t="n">
        <f aca="false">+'Schedule 1 (L)'!J119/8</f>
        <v>0</v>
      </c>
      <c r="K64" s="450" t="n">
        <f aca="false">+'Schedule 1 (L)'!K119/8</f>
        <v>2</v>
      </c>
      <c r="L64" s="450" t="n">
        <f aca="false">+'Schedule 1 (L)'!L119/8</f>
        <v>1.25</v>
      </c>
      <c r="M64" s="450" t="n">
        <f aca="false">+'Schedule 1 (L)'!M119/8</f>
        <v>0</v>
      </c>
      <c r="N64" s="450" t="n">
        <f aca="false">+'Schedule 1 (L)'!N119/8</f>
        <v>14</v>
      </c>
      <c r="O64" s="450" t="n">
        <f aca="false">+'Schedule 1 (L)'!O119/8</f>
        <v>7</v>
      </c>
      <c r="P64" s="450" t="n">
        <f aca="false">+'Schedule 1 (L)'!P119/8</f>
        <v>0</v>
      </c>
      <c r="Q64" s="92" t="n">
        <f aca="false">+E64+H64+K64+N64</f>
        <v>17</v>
      </c>
      <c r="R64" s="80" t="n">
        <f aca="false">+F64+G64+I64+J64+L64+M64+O64+P64</f>
        <v>8.875</v>
      </c>
      <c r="S64" s="74"/>
      <c r="T64" s="74"/>
      <c r="U64" s="74"/>
    </row>
    <row r="65" customFormat="false" ht="13.2" hidden="false" customHeight="false" outlineLevel="0" collapsed="false">
      <c r="A65" s="47" t="n">
        <v>10</v>
      </c>
      <c r="B65" s="205" t="n">
        <v>36707</v>
      </c>
      <c r="C65" s="204" t="n">
        <v>1</v>
      </c>
      <c r="D65" s="204" t="n">
        <v>16</v>
      </c>
      <c r="E65" s="450" t="n">
        <f aca="false">+'Schedule 1 (L)'!E120/8</f>
        <v>0</v>
      </c>
      <c r="F65" s="450" t="n">
        <f aca="false">+'Schedule 1 (L)'!F120/8</f>
        <v>0</v>
      </c>
      <c r="G65" s="450" t="n">
        <v>0</v>
      </c>
      <c r="H65" s="450" t="n">
        <f aca="false">+'Schedule 1 (L)'!H120/8</f>
        <v>1</v>
      </c>
      <c r="I65" s="450" t="n">
        <f aca="false">+'Schedule 1 (L)'!I120/8</f>
        <v>0.625</v>
      </c>
      <c r="J65" s="450" t="n">
        <f aca="false">+'Schedule 1 (L)'!J120/8</f>
        <v>0</v>
      </c>
      <c r="K65" s="450" t="n">
        <f aca="false">+'Schedule 1 (L)'!K120/8</f>
        <v>2</v>
      </c>
      <c r="L65" s="450" t="n">
        <f aca="false">+'Schedule 1 (L)'!L120/8</f>
        <v>1.25</v>
      </c>
      <c r="M65" s="450" t="n">
        <f aca="false">+'Schedule 1 (L)'!M120/8</f>
        <v>0</v>
      </c>
      <c r="N65" s="450" t="n">
        <f aca="false">+'Schedule 1 (L)'!N120/8</f>
        <v>14</v>
      </c>
      <c r="O65" s="450" t="n">
        <f aca="false">+'Schedule 1 (L)'!O120/8</f>
        <v>7</v>
      </c>
      <c r="P65" s="450" t="n">
        <f aca="false">+'Schedule 1 (L)'!P120/8</f>
        <v>0</v>
      </c>
      <c r="Q65" s="92" t="n">
        <f aca="false">+E65+H65+K65+N65</f>
        <v>17</v>
      </c>
      <c r="R65" s="80" t="n">
        <f aca="false">+F65+G65+I65+J65+L65+M65+O65+P65</f>
        <v>8.875</v>
      </c>
      <c r="S65" s="74"/>
      <c r="T65" s="74"/>
      <c r="U65" s="74"/>
    </row>
    <row r="66" customFormat="false" ht="13.2" hidden="false" customHeight="false" outlineLevel="0" collapsed="false">
      <c r="A66" s="47" t="n">
        <v>11</v>
      </c>
      <c r="B66" s="205" t="n">
        <v>36708</v>
      </c>
      <c r="C66" s="204" t="n">
        <v>1</v>
      </c>
      <c r="D66" s="204" t="n">
        <v>16</v>
      </c>
      <c r="E66" s="450" t="n">
        <f aca="false">+'Schedule 1 (L)'!E121/8</f>
        <v>0</v>
      </c>
      <c r="F66" s="450" t="n">
        <f aca="false">+'Schedule 1 (L)'!F121/8</f>
        <v>0</v>
      </c>
      <c r="G66" s="450" t="n">
        <f aca="false">+'Schedule 1 (L)'!G121/8</f>
        <v>0</v>
      </c>
      <c r="H66" s="450" t="n">
        <f aca="false">+'Schedule 1 (L)'!H121/8</f>
        <v>0</v>
      </c>
      <c r="I66" s="450" t="n">
        <f aca="false">+'Schedule 1 (L)'!I121/8</f>
        <v>1.625</v>
      </c>
      <c r="J66" s="450" t="n">
        <f aca="false">+'Schedule 1 (L)'!J121/8</f>
        <v>0</v>
      </c>
      <c r="K66" s="450" t="n">
        <f aca="false">+'Schedule 1 (L)'!K121/8</f>
        <v>0</v>
      </c>
      <c r="L66" s="450" t="n">
        <f aca="false">+'Schedule 1 (L)'!L121/8</f>
        <v>3.25</v>
      </c>
      <c r="M66" s="450" t="n">
        <f aca="false">+'Schedule 1 (L)'!M121/8</f>
        <v>0</v>
      </c>
      <c r="N66" s="450" t="n">
        <f aca="false">+'Schedule 1 (L)'!N121/8</f>
        <v>0</v>
      </c>
      <c r="O66" s="450" t="n">
        <f aca="false">+'Schedule 1 (L)'!O121/8</f>
        <v>21</v>
      </c>
      <c r="P66" s="450" t="n">
        <f aca="false">+'Schedule 1 (L)'!P121/8</f>
        <v>0</v>
      </c>
      <c r="Q66" s="92" t="n">
        <f aca="false">+E66+H66+K66+N66</f>
        <v>0</v>
      </c>
      <c r="R66" s="80" t="n">
        <f aca="false">+F66+G66+I66+J66+L66+M66+O66+P66</f>
        <v>25.875</v>
      </c>
      <c r="S66" s="74"/>
      <c r="T66" s="92"/>
    </row>
    <row r="67" customFormat="false" ht="13.2" hidden="false" customHeight="false" outlineLevel="0" collapsed="false">
      <c r="A67" s="47" t="n">
        <v>12</v>
      </c>
      <c r="B67" s="205" t="n">
        <v>36709</v>
      </c>
      <c r="C67" s="204" t="n">
        <v>1</v>
      </c>
      <c r="D67" s="204" t="n">
        <v>16</v>
      </c>
      <c r="E67" s="450" t="n">
        <f aca="false">+'Schedule 1 (L)'!E122/8</f>
        <v>0</v>
      </c>
      <c r="F67" s="450" t="n">
        <f aca="false">+'Schedule 1 (L)'!F122/8</f>
        <v>0</v>
      </c>
      <c r="G67" s="450" t="n">
        <v>0</v>
      </c>
      <c r="H67" s="450" t="n">
        <f aca="false">+'Schedule 1 (L)'!H122/8</f>
        <v>0</v>
      </c>
      <c r="I67" s="450" t="n">
        <f aca="false">+'Schedule 1 (L)'!I122/8</f>
        <v>0</v>
      </c>
      <c r="J67" s="450" t="n">
        <f aca="false">+'Schedule 1 (L)'!J122/8</f>
        <v>1.625</v>
      </c>
      <c r="K67" s="450" t="n">
        <f aca="false">+'Schedule 1 (L)'!K122/8</f>
        <v>0</v>
      </c>
      <c r="L67" s="450" t="n">
        <f aca="false">+'Schedule 1 (L)'!L122/8</f>
        <v>0</v>
      </c>
      <c r="M67" s="450" t="n">
        <f aca="false">+'Schedule 1 (L)'!M122/8</f>
        <v>3.25</v>
      </c>
      <c r="N67" s="450" t="n">
        <f aca="false">+'Schedule 1 (L)'!N122/8</f>
        <v>0</v>
      </c>
      <c r="O67" s="450" t="n">
        <f aca="false">+'Schedule 1 (L)'!O122/8</f>
        <v>0</v>
      </c>
      <c r="P67" s="450" t="n">
        <f aca="false">+'Schedule 1 (L)'!P122/8</f>
        <v>21</v>
      </c>
      <c r="Q67" s="92" t="n">
        <f aca="false">+E67+H67+K67+N67</f>
        <v>0</v>
      </c>
      <c r="R67" s="80" t="n">
        <f aca="false">+F67+G67+I67+J67+L67+M67+O67+P67</f>
        <v>25.875</v>
      </c>
      <c r="S67" s="74"/>
      <c r="T67" s="92"/>
      <c r="U67" s="92"/>
    </row>
    <row r="68" customFormat="false" ht="13.2" hidden="false" customHeight="false" outlineLevel="0" collapsed="false">
      <c r="A68" s="47" t="n">
        <v>13</v>
      </c>
      <c r="B68" s="205" t="n">
        <v>36710</v>
      </c>
      <c r="C68" s="204" t="n">
        <v>1</v>
      </c>
      <c r="D68" s="204" t="n">
        <v>18</v>
      </c>
      <c r="E68" s="450" t="n">
        <f aca="false">+'Schedule 1 (L)'!E123/8</f>
        <v>0</v>
      </c>
      <c r="F68" s="450" t="n">
        <f aca="false">+'Schedule 1 (L)'!F123/8</f>
        <v>0</v>
      </c>
      <c r="G68" s="450" t="n">
        <v>0</v>
      </c>
      <c r="H68" s="450" t="n">
        <f aca="false">+'Schedule 1 (L)'!H123/8</f>
        <v>1</v>
      </c>
      <c r="I68" s="450" t="n">
        <f aca="false">+'Schedule 1 (L)'!I123/8</f>
        <v>0.625</v>
      </c>
      <c r="J68" s="450" t="n">
        <f aca="false">+'Schedule 1 (L)'!J123/8</f>
        <v>0</v>
      </c>
      <c r="K68" s="450" t="n">
        <f aca="false">+'Schedule 1 (L)'!K123/8</f>
        <v>2</v>
      </c>
      <c r="L68" s="450" t="n">
        <f aca="false">+'Schedule 1 (L)'!L123/8</f>
        <v>1.25</v>
      </c>
      <c r="M68" s="450" t="n">
        <f aca="false">+'Schedule 1 (L)'!M123/8</f>
        <v>0</v>
      </c>
      <c r="N68" s="451" t="n">
        <f aca="false">+'Schedule 1 (L)'!N123/8</f>
        <v>16</v>
      </c>
      <c r="O68" s="450" t="n">
        <f aca="false">+'Schedule 1 (L)'!O123/8</f>
        <v>7.75</v>
      </c>
      <c r="P68" s="450" t="n">
        <f aca="false">+'Schedule 1 (L)'!P123/8</f>
        <v>0</v>
      </c>
      <c r="Q68" s="92" t="n">
        <f aca="false">+E68+H68+K68+N68</f>
        <v>19</v>
      </c>
      <c r="R68" s="80" t="n">
        <f aca="false">+F68+G68+I68+J68+L68+M68+O68+P68</f>
        <v>9.625</v>
      </c>
      <c r="S68" s="74"/>
      <c r="T68" s="92"/>
      <c r="U68" s="74"/>
    </row>
    <row r="69" customFormat="false" ht="13.2" hidden="false" customHeight="false" outlineLevel="0" collapsed="false">
      <c r="A69" s="47" t="n">
        <v>14</v>
      </c>
      <c r="B69" s="205" t="n">
        <v>36711</v>
      </c>
      <c r="C69" s="204" t="n">
        <v>1</v>
      </c>
      <c r="D69" s="204" t="n">
        <v>18</v>
      </c>
      <c r="E69" s="450" t="n">
        <f aca="false">+'Schedule 1 (L)'!E124/8</f>
        <v>0</v>
      </c>
      <c r="F69" s="450" t="n">
        <f aca="false">+'Schedule 1 (L)'!F124/8</f>
        <v>0</v>
      </c>
      <c r="G69" s="450" t="n">
        <v>0</v>
      </c>
      <c r="H69" s="450" t="n">
        <f aca="false">+'Schedule 1 (L)'!H124/8</f>
        <v>0</v>
      </c>
      <c r="I69" s="450" t="n">
        <f aca="false">+'Schedule 1 (L)'!I124/8</f>
        <v>0</v>
      </c>
      <c r="J69" s="450" t="n">
        <f aca="false">+'Schedule 1 (L)'!J124/8</f>
        <v>2</v>
      </c>
      <c r="K69" s="450" t="n">
        <f aca="false">+'Schedule 1 (L)'!K124/8</f>
        <v>0</v>
      </c>
      <c r="L69" s="450" t="n">
        <f aca="false">+'Schedule 1 (L)'!L124/8</f>
        <v>0</v>
      </c>
      <c r="M69" s="450" t="n">
        <f aca="false">+'Schedule 1 (L)'!M124/8</f>
        <v>3.5</v>
      </c>
      <c r="N69" s="450" t="n">
        <f aca="false">+'Schedule 1 (L)'!N124/8</f>
        <v>0</v>
      </c>
      <c r="O69" s="450" t="n">
        <f aca="false">+'Schedule 1 (L)'!O124/8</f>
        <v>0</v>
      </c>
      <c r="P69" s="450" t="n">
        <f aca="false">+'Schedule 1 (L)'!P124/8</f>
        <v>18.875</v>
      </c>
      <c r="Q69" s="92" t="n">
        <f aca="false">+E69+H69+K69+N69</f>
        <v>0</v>
      </c>
      <c r="R69" s="80" t="n">
        <f aca="false">+F69+G69+I69+J69+L69+M69+O69+P69</f>
        <v>24.375</v>
      </c>
      <c r="S69" s="74"/>
      <c r="T69" s="92"/>
      <c r="U69" s="74"/>
    </row>
    <row r="70" customFormat="false" ht="13.2" hidden="false" customHeight="false" outlineLevel="0" collapsed="false">
      <c r="A70" s="47" t="n">
        <v>15</v>
      </c>
      <c r="B70" s="205" t="n">
        <v>36712</v>
      </c>
      <c r="C70" s="204" t="n">
        <v>1</v>
      </c>
      <c r="D70" s="204" t="n">
        <v>18</v>
      </c>
      <c r="E70" s="450" t="n">
        <f aca="false">+'Schedule 1 (L)'!E125/8</f>
        <v>0</v>
      </c>
      <c r="F70" s="450" t="n">
        <f aca="false">+'Schedule 1 (L)'!F125/8</f>
        <v>0</v>
      </c>
      <c r="G70" s="450" t="n">
        <v>0</v>
      </c>
      <c r="H70" s="450" t="n">
        <f aca="false">+'Schedule 1 (L)'!H125/8</f>
        <v>1</v>
      </c>
      <c r="I70" s="450" t="n">
        <f aca="false">+'Schedule 1 (L)'!I125/8</f>
        <v>0.75</v>
      </c>
      <c r="J70" s="450" t="n">
        <f aca="false">+'Schedule 1 (L)'!J125/8</f>
        <v>0</v>
      </c>
      <c r="K70" s="450" t="n">
        <f aca="false">+'Schedule 1 (L)'!K125/8</f>
        <v>2</v>
      </c>
      <c r="L70" s="450" t="n">
        <f aca="false">+'Schedule 1 (L)'!L125/8</f>
        <v>1.25</v>
      </c>
      <c r="M70" s="450" t="n">
        <f aca="false">+'Schedule 1 (L)'!M125/8</f>
        <v>0</v>
      </c>
      <c r="N70" s="450" t="n">
        <f aca="false">+'Schedule 1 (L)'!N125/8</f>
        <v>12</v>
      </c>
      <c r="O70" s="450" t="n">
        <f aca="false">+'Schedule 1 (L)'!O125/8</f>
        <v>6.25</v>
      </c>
      <c r="P70" s="450" t="n">
        <f aca="false">+'Schedule 1 (L)'!P125/8</f>
        <v>0</v>
      </c>
      <c r="Q70" s="92" t="n">
        <f aca="false">+E70+H70+K70+N70</f>
        <v>15</v>
      </c>
      <c r="R70" s="80" t="n">
        <f aca="false">+F70+G70+I70+J70+L70+M70+O70+P70</f>
        <v>8.25</v>
      </c>
      <c r="S70" s="74"/>
      <c r="T70" s="92"/>
      <c r="U70" s="74"/>
    </row>
    <row r="71" customFormat="false" ht="13.2" hidden="false" customHeight="false" outlineLevel="0" collapsed="false">
      <c r="A71" s="47" t="n">
        <v>16</v>
      </c>
      <c r="B71" s="205" t="n">
        <v>36713</v>
      </c>
      <c r="C71" s="204" t="n">
        <v>1</v>
      </c>
      <c r="D71" s="204" t="n">
        <v>18</v>
      </c>
      <c r="E71" s="450" t="n">
        <f aca="false">+'Schedule 1 (L)'!E126/8</f>
        <v>0</v>
      </c>
      <c r="F71" s="450" t="n">
        <f aca="false">+'Schedule 1 (L)'!F126/8</f>
        <v>0</v>
      </c>
      <c r="G71" s="450" t="n">
        <v>0</v>
      </c>
      <c r="H71" s="450" t="n">
        <f aca="false">+'Schedule 1 (L)'!H126/8</f>
        <v>1</v>
      </c>
      <c r="I71" s="450" t="n">
        <f aca="false">+'Schedule 1 (L)'!I126/8</f>
        <v>0.625</v>
      </c>
      <c r="J71" s="450" t="n">
        <f aca="false">+'Schedule 1 (L)'!J126/8</f>
        <v>0</v>
      </c>
      <c r="K71" s="450" t="n">
        <f aca="false">+'Schedule 1 (L)'!K126/8</f>
        <v>2</v>
      </c>
      <c r="L71" s="450" t="n">
        <f aca="false">+'Schedule 1 (L)'!L126/8</f>
        <v>1.25</v>
      </c>
      <c r="M71" s="450" t="n">
        <f aca="false">+'Schedule 1 (L)'!M126/8</f>
        <v>0</v>
      </c>
      <c r="N71" s="450" t="n">
        <f aca="false">+'Schedule 1 (L)'!N126/8</f>
        <v>12</v>
      </c>
      <c r="O71" s="450" t="n">
        <f aca="false">+'Schedule 1 (L)'!O126/8</f>
        <v>6.25</v>
      </c>
      <c r="P71" s="450" t="n">
        <f aca="false">+'Schedule 1 (L)'!P126/8</f>
        <v>0</v>
      </c>
      <c r="Q71" s="92" t="n">
        <f aca="false">+E71+H71+K71+N71</f>
        <v>15</v>
      </c>
      <c r="R71" s="80" t="n">
        <f aca="false">+F71+G71+I71+J71+L71+M71+O71+P71</f>
        <v>8.125</v>
      </c>
      <c r="S71" s="74" t="s">
        <v>846</v>
      </c>
      <c r="T71" s="74"/>
      <c r="U71" s="74"/>
    </row>
    <row r="72" customFormat="false" ht="13.2" hidden="false" customHeight="false" outlineLevel="0" collapsed="false">
      <c r="A72" s="47" t="n">
        <v>17</v>
      </c>
      <c r="B72" s="205" t="n">
        <v>36714</v>
      </c>
      <c r="C72" s="204" t="n">
        <v>1</v>
      </c>
      <c r="D72" s="204" t="n">
        <v>18</v>
      </c>
      <c r="E72" s="450" t="n">
        <f aca="false">+'Schedule 1 (L)'!E127/8</f>
        <v>0</v>
      </c>
      <c r="F72" s="450" t="n">
        <f aca="false">+'Schedule 1 (L)'!F127/8</f>
        <v>0</v>
      </c>
      <c r="G72" s="450" t="n">
        <f aca="false">+'Schedule 1 (L)'!G127/8</f>
        <v>0</v>
      </c>
      <c r="H72" s="450" t="n">
        <f aca="false">+'Schedule 1 (L)'!H127/8</f>
        <v>1</v>
      </c>
      <c r="I72" s="450" t="n">
        <f aca="false">+'Schedule 1 (L)'!I127/8</f>
        <v>0.625</v>
      </c>
      <c r="J72" s="450" t="n">
        <f aca="false">+'Schedule 1 (L)'!J127/8</f>
        <v>0</v>
      </c>
      <c r="K72" s="450" t="n">
        <f aca="false">+'Schedule 1 (L)'!K127/8</f>
        <v>2</v>
      </c>
      <c r="L72" s="450" t="n">
        <f aca="false">+'Schedule 1 (L)'!L127/8</f>
        <v>1.25</v>
      </c>
      <c r="M72" s="450" t="n">
        <f aca="false">+'Schedule 1 (L)'!M127/8</f>
        <v>0</v>
      </c>
      <c r="N72" s="450" t="n">
        <f aca="false">+'Schedule 1 (L)'!N127/8</f>
        <v>17</v>
      </c>
      <c r="O72" s="450" t="n">
        <f aca="false">+'Schedule 1 (L)'!O127/8</f>
        <v>7.75</v>
      </c>
      <c r="P72" s="450" t="n">
        <f aca="false">+'Schedule 1 (L)'!P127/8</f>
        <v>0</v>
      </c>
      <c r="Q72" s="92" t="n">
        <f aca="false">+E72+H72+K72+N72</f>
        <v>20</v>
      </c>
      <c r="R72" s="80" t="n">
        <f aca="false">+F72+G72+I72+J72+L72+M72+O72+P72</f>
        <v>9.625</v>
      </c>
      <c r="S72" s="74" t="s">
        <v>847</v>
      </c>
      <c r="T72" s="74"/>
      <c r="U72" s="74"/>
    </row>
    <row r="73" customFormat="false" ht="13.2" hidden="false" customHeight="false" outlineLevel="0" collapsed="false">
      <c r="A73" s="47" t="n">
        <v>18</v>
      </c>
      <c r="B73" s="205" t="n">
        <v>36715</v>
      </c>
      <c r="C73" s="204" t="n">
        <v>1</v>
      </c>
      <c r="D73" s="204" t="n">
        <v>18</v>
      </c>
      <c r="E73" s="450" t="n">
        <f aca="false">+'Schedule 1 (L)'!E128/8</f>
        <v>0</v>
      </c>
      <c r="F73" s="450" t="n">
        <f aca="false">+'Schedule 1 (L)'!F128/8</f>
        <v>0</v>
      </c>
      <c r="G73" s="450" t="n">
        <f aca="false">+'Schedule 1 (L)'!G128/8</f>
        <v>0</v>
      </c>
      <c r="H73" s="450" t="n">
        <f aca="false">+'Schedule 1 (L)'!H128/8</f>
        <v>0</v>
      </c>
      <c r="I73" s="450" t="n">
        <f aca="false">+'Schedule 1 (L)'!I128/8</f>
        <v>1.625</v>
      </c>
      <c r="J73" s="450" t="n">
        <f aca="false">+'Schedule 1 (L)'!J128/8</f>
        <v>0</v>
      </c>
      <c r="K73" s="450" t="n">
        <f aca="false">+'Schedule 1 (L)'!K128/8</f>
        <v>0</v>
      </c>
      <c r="L73" s="450" t="n">
        <f aca="false">+'Schedule 1 (L)'!L128/8</f>
        <v>3.25</v>
      </c>
      <c r="M73" s="450" t="n">
        <f aca="false">+'Schedule 1 (L)'!M128/8</f>
        <v>0</v>
      </c>
      <c r="N73" s="450" t="n">
        <f aca="false">+'Schedule 1 (L)'!N128/8</f>
        <v>0</v>
      </c>
      <c r="O73" s="450" t="n">
        <f aca="false">+'Schedule 1 (L)'!O128/8</f>
        <v>25.75</v>
      </c>
      <c r="P73" s="450" t="n">
        <f aca="false">+'Schedule 1 (L)'!P128/8</f>
        <v>0</v>
      </c>
      <c r="Q73" s="92" t="n">
        <f aca="false">+E73+H73+K73+N73</f>
        <v>0</v>
      </c>
      <c r="R73" s="80" t="n">
        <f aca="false">+F73+G73+I73+J73+L73+M73+O73+P73</f>
        <v>30.625</v>
      </c>
      <c r="S73" s="74" t="s">
        <v>848</v>
      </c>
      <c r="T73" s="92"/>
      <c r="U73" s="74"/>
    </row>
    <row r="74" customFormat="false" ht="13.2" hidden="false" customHeight="false" outlineLevel="0" collapsed="false">
      <c r="A74" s="47" t="n">
        <v>19</v>
      </c>
      <c r="B74" s="205" t="n">
        <v>36716</v>
      </c>
      <c r="C74" s="204" t="n">
        <v>1</v>
      </c>
      <c r="D74" s="204" t="n">
        <v>18</v>
      </c>
      <c r="E74" s="450" t="n">
        <f aca="false">+'Schedule 1 (L)'!E129/8</f>
        <v>0</v>
      </c>
      <c r="F74" s="450" t="n">
        <f aca="false">+'Schedule 1 (L)'!F129/8</f>
        <v>0</v>
      </c>
      <c r="G74" s="450" t="n">
        <f aca="false">+'Schedule 1 (L)'!G129/8</f>
        <v>0</v>
      </c>
      <c r="H74" s="450" t="n">
        <f aca="false">+'Schedule 1 (L)'!H129/8</f>
        <v>0</v>
      </c>
      <c r="I74" s="450" t="n">
        <f aca="false">+'Schedule 1 (L)'!I129/8</f>
        <v>0</v>
      </c>
      <c r="J74" s="450" t="n">
        <f aca="false">+'Schedule 1 (L)'!J129/8</f>
        <v>1.625</v>
      </c>
      <c r="K74" s="450" t="n">
        <f aca="false">+'Schedule 1 (L)'!K129/8</f>
        <v>0</v>
      </c>
      <c r="L74" s="450" t="n">
        <f aca="false">+'Schedule 1 (L)'!L129/8</f>
        <v>0</v>
      </c>
      <c r="M74" s="450" t="n">
        <f aca="false">+'Schedule 1 (L)'!M129/8</f>
        <v>3.25</v>
      </c>
      <c r="N74" s="450" t="n">
        <f aca="false">+'Schedule 1 (L)'!N129/8</f>
        <v>0</v>
      </c>
      <c r="O74" s="450" t="n">
        <f aca="false">+'Schedule 1 (L)'!O129/8</f>
        <v>0</v>
      </c>
      <c r="P74" s="450" t="n">
        <f aca="false">+'Schedule 1 (L)'!P129/8</f>
        <v>25.75</v>
      </c>
      <c r="Q74" s="92" t="n">
        <f aca="false">+E74+H74+K74+N74</f>
        <v>0</v>
      </c>
      <c r="R74" s="80" t="n">
        <f aca="false">+F74+G74+I74+J74+L74+M74+O74+P74</f>
        <v>30.625</v>
      </c>
      <c r="S74" s="74" t="s">
        <v>849</v>
      </c>
      <c r="T74" s="92"/>
      <c r="U74" s="74"/>
    </row>
    <row r="75" customFormat="false" ht="13.2" hidden="false" customHeight="false" outlineLevel="0" collapsed="false">
      <c r="A75" s="47" t="n">
        <v>20</v>
      </c>
      <c r="B75" s="205" t="n">
        <v>36717</v>
      </c>
      <c r="C75" s="204" t="n">
        <v>1</v>
      </c>
      <c r="D75" s="74" t="n">
        <v>20</v>
      </c>
      <c r="E75" s="450" t="n">
        <f aca="false">+'Schedule 1 (L)'!E130/8</f>
        <v>2</v>
      </c>
      <c r="F75" s="450" t="n">
        <f aca="false">+'Schedule 1 (L)'!F130/8</f>
        <v>0.625</v>
      </c>
      <c r="G75" s="450" t="n">
        <f aca="false">+'Schedule 1 (L)'!G130/8</f>
        <v>0</v>
      </c>
      <c r="H75" s="450" t="n">
        <f aca="false">+'Schedule 1 (L)'!H130/8</f>
        <v>1</v>
      </c>
      <c r="I75" s="450" t="n">
        <f aca="false">+'Schedule 1 (L)'!I130/8</f>
        <v>0.625</v>
      </c>
      <c r="J75" s="450" t="n">
        <f aca="false">+'Schedule 1 (L)'!J130/8</f>
        <v>0</v>
      </c>
      <c r="K75" s="450" t="n">
        <f aca="false">+'Schedule 1 (L)'!K130/8</f>
        <v>2</v>
      </c>
      <c r="L75" s="450" t="n">
        <f aca="false">+'Schedule 1 (L)'!L130/8</f>
        <v>1.25</v>
      </c>
      <c r="M75" s="450" t="n">
        <f aca="false">+'Schedule 1 (L)'!M130/8</f>
        <v>0</v>
      </c>
      <c r="N75" s="450" t="n">
        <f aca="false">+'Schedule 1 (L)'!N130/8</f>
        <v>15</v>
      </c>
      <c r="O75" s="450" t="n">
        <f aca="false">+'Schedule 1 (L)'!O130/8</f>
        <v>7.75</v>
      </c>
      <c r="P75" s="450" t="n">
        <f aca="false">+'Schedule 1 (L)'!P130/8</f>
        <v>0</v>
      </c>
      <c r="Q75" s="92" t="n">
        <f aca="false">+E75+H75+K75+N75</f>
        <v>20</v>
      </c>
      <c r="R75" s="80" t="n">
        <f aca="false">+F75+G75+I75+J75+L75+M75+O75+P75</f>
        <v>10.25</v>
      </c>
      <c r="S75" s="452"/>
      <c r="T75" s="92"/>
      <c r="U75" s="74"/>
    </row>
    <row r="76" customFormat="false" ht="13.2" hidden="false" customHeight="false" outlineLevel="0" collapsed="false">
      <c r="A76" s="47" t="n">
        <v>21</v>
      </c>
      <c r="B76" s="205" t="n">
        <v>36718</v>
      </c>
      <c r="C76" s="204" t="n">
        <v>1</v>
      </c>
      <c r="D76" s="74" t="n">
        <v>20</v>
      </c>
      <c r="E76" s="450" t="n">
        <f aca="false">+'Schedule 1 (L)'!E131/8</f>
        <v>1</v>
      </c>
      <c r="F76" s="450" t="n">
        <f aca="false">+'Schedule 1 (L)'!F131/8</f>
        <v>0.625</v>
      </c>
      <c r="G76" s="450" t="n">
        <f aca="false">+'Schedule 1 (L)'!G131/8</f>
        <v>0</v>
      </c>
      <c r="H76" s="450" t="n">
        <f aca="false">+'Schedule 1 (L)'!H131/8</f>
        <v>1</v>
      </c>
      <c r="I76" s="450" t="n">
        <f aca="false">+'Schedule 1 (L)'!I131/8</f>
        <v>0.625</v>
      </c>
      <c r="J76" s="450" t="n">
        <f aca="false">+'Schedule 1 (L)'!J131/8</f>
        <v>0</v>
      </c>
      <c r="K76" s="450" t="n">
        <f aca="false">+'Schedule 1 (L)'!K131/8</f>
        <v>2</v>
      </c>
      <c r="L76" s="450" t="n">
        <f aca="false">+'Schedule 1 (L)'!L131/8</f>
        <v>1.25</v>
      </c>
      <c r="M76" s="450" t="n">
        <f aca="false">+'Schedule 1 (L)'!M131/8</f>
        <v>0</v>
      </c>
      <c r="N76" s="450" t="n">
        <f aca="false">+'Schedule 1 (L)'!N131/8</f>
        <v>11</v>
      </c>
      <c r="O76" s="450" t="n">
        <f aca="false">+'Schedule 1 (L)'!O131/8</f>
        <v>5.75</v>
      </c>
      <c r="P76" s="450" t="n">
        <f aca="false">+'Schedule 1 (L)'!P131/8</f>
        <v>0</v>
      </c>
      <c r="Q76" s="92" t="n">
        <f aca="false">+E76+H76+K76+N76</f>
        <v>15</v>
      </c>
      <c r="R76" s="80" t="n">
        <f aca="false">+F76+G76+I76+J76+L76+M76+O76+P76</f>
        <v>8.25</v>
      </c>
      <c r="S76" s="74"/>
      <c r="T76" s="92"/>
      <c r="U76" s="74"/>
    </row>
    <row r="77" customFormat="false" ht="13.2" hidden="false" customHeight="false" outlineLevel="0" collapsed="false">
      <c r="A77" s="47" t="n">
        <v>22</v>
      </c>
      <c r="B77" s="205" t="n">
        <v>36719</v>
      </c>
      <c r="C77" s="204" t="n">
        <v>1</v>
      </c>
      <c r="D77" s="74" t="n">
        <v>20</v>
      </c>
      <c r="E77" s="450" t="n">
        <f aca="false">+'Schedule 1 (L)'!E132/8</f>
        <v>1</v>
      </c>
      <c r="F77" s="450" t="n">
        <f aca="false">+'Schedule 1 (L)'!F132/8</f>
        <v>0.625</v>
      </c>
      <c r="G77" s="450" t="n">
        <f aca="false">+'Schedule 1 (L)'!G132/8</f>
        <v>0</v>
      </c>
      <c r="H77" s="450" t="n">
        <f aca="false">+'Schedule 1 (L)'!H132/8</f>
        <v>1</v>
      </c>
      <c r="I77" s="450" t="n">
        <f aca="false">+'Schedule 1 (L)'!I132/8</f>
        <v>0.625</v>
      </c>
      <c r="J77" s="450" t="n">
        <f aca="false">+'Schedule 1 (L)'!J132/8</f>
        <v>0</v>
      </c>
      <c r="K77" s="450" t="n">
        <f aca="false">+'Schedule 1 (L)'!K132/8</f>
        <v>2</v>
      </c>
      <c r="L77" s="450" t="n">
        <f aca="false">+'Schedule 1 (L)'!L132/8</f>
        <v>1.25</v>
      </c>
      <c r="M77" s="450" t="n">
        <f aca="false">+'Schedule 1 (L)'!M132/8</f>
        <v>0</v>
      </c>
      <c r="N77" s="450" t="n">
        <f aca="false">+'Schedule 1 (L)'!N132/8</f>
        <v>12</v>
      </c>
      <c r="O77" s="450" t="n">
        <f aca="false">+'Schedule 1 (L)'!O132/8</f>
        <v>6.5</v>
      </c>
      <c r="P77" s="450" t="n">
        <f aca="false">+'Schedule 1 (L)'!P132/8</f>
        <v>0</v>
      </c>
      <c r="Q77" s="92" t="n">
        <f aca="false">+E77+H77+K77+N77</f>
        <v>16</v>
      </c>
      <c r="R77" s="80" t="n">
        <f aca="false">+F77+G77+I77+J77+L77+M77+O77+P77</f>
        <v>9</v>
      </c>
      <c r="S77" s="74"/>
      <c r="T77" s="92"/>
      <c r="U77" s="74"/>
    </row>
    <row r="78" customFormat="false" ht="13.2" hidden="false" customHeight="false" outlineLevel="0" collapsed="false">
      <c r="A78" s="47" t="n">
        <v>23</v>
      </c>
      <c r="B78" s="205" t="n">
        <v>36720</v>
      </c>
      <c r="C78" s="204" t="n">
        <v>1</v>
      </c>
      <c r="D78" s="74" t="n">
        <v>20</v>
      </c>
      <c r="E78" s="450" t="n">
        <f aca="false">+'Schedule 1 (L)'!E133/8</f>
        <v>1</v>
      </c>
      <c r="F78" s="450" t="n">
        <f aca="false">+'Schedule 1 (L)'!F133/8</f>
        <v>0.625</v>
      </c>
      <c r="G78" s="450" t="n">
        <f aca="false">+'Schedule 1 (L)'!G133/8</f>
        <v>0</v>
      </c>
      <c r="H78" s="450" t="n">
        <f aca="false">+'Schedule 1 (L)'!H133/8</f>
        <v>1</v>
      </c>
      <c r="I78" s="450" t="n">
        <f aca="false">+'Schedule 1 (L)'!I133/8</f>
        <v>0.625</v>
      </c>
      <c r="J78" s="450" t="n">
        <f aca="false">+'Schedule 1 (L)'!J133/8</f>
        <v>0</v>
      </c>
      <c r="K78" s="450" t="n">
        <f aca="false">+'Schedule 1 (L)'!K133/8</f>
        <v>2</v>
      </c>
      <c r="L78" s="450" t="n">
        <f aca="false">+'Schedule 1 (L)'!L133/8</f>
        <v>1.25</v>
      </c>
      <c r="M78" s="450" t="n">
        <f aca="false">+'Schedule 1 (L)'!M133/8</f>
        <v>0</v>
      </c>
      <c r="N78" s="450" t="n">
        <f aca="false">+'Schedule 1 (L)'!N133/8</f>
        <v>15</v>
      </c>
      <c r="O78" s="450" t="n">
        <f aca="false">+'Schedule 1 (L)'!O133/8</f>
        <v>7.75</v>
      </c>
      <c r="P78" s="450" t="n">
        <f aca="false">+'Schedule 1 (L)'!P133/8</f>
        <v>0</v>
      </c>
      <c r="Q78" s="448" t="n">
        <f aca="false">+E78+H78+K78+N78</f>
        <v>19</v>
      </c>
      <c r="R78" s="80" t="n">
        <f aca="false">+F78+G78+I78+J78+L78+M78+O78+P78</f>
        <v>10.25</v>
      </c>
      <c r="S78" s="74"/>
      <c r="T78" s="74"/>
      <c r="U78" s="74"/>
    </row>
    <row r="79" customFormat="false" ht="13.2" hidden="false" customHeight="false" outlineLevel="0" collapsed="false">
      <c r="A79" s="47" t="n">
        <v>24</v>
      </c>
      <c r="B79" s="205" t="n">
        <v>36721</v>
      </c>
      <c r="C79" s="204" t="n">
        <v>1</v>
      </c>
      <c r="D79" s="74" t="n">
        <v>20</v>
      </c>
      <c r="E79" s="450" t="n">
        <f aca="false">+'Schedule 1 (L)'!E134/8</f>
        <v>1</v>
      </c>
      <c r="F79" s="450" t="n">
        <f aca="false">+'Schedule 1 (L)'!F134/8</f>
        <v>0.625</v>
      </c>
      <c r="G79" s="450" t="n">
        <f aca="false">+'Schedule 1 (L)'!G134/8</f>
        <v>0</v>
      </c>
      <c r="H79" s="450" t="n">
        <f aca="false">+'Schedule 1 (L)'!H134/8</f>
        <v>1</v>
      </c>
      <c r="I79" s="450" t="n">
        <f aca="false">+'Schedule 1 (L)'!I134/8</f>
        <v>0.625</v>
      </c>
      <c r="J79" s="450" t="n">
        <f aca="false">+'Schedule 1 (L)'!J134/8</f>
        <v>0</v>
      </c>
      <c r="K79" s="450" t="n">
        <f aca="false">+'Schedule 1 (L)'!K134/8</f>
        <v>2</v>
      </c>
      <c r="L79" s="450" t="n">
        <f aca="false">+'Schedule 1 (L)'!L134/8</f>
        <v>1.25</v>
      </c>
      <c r="M79" s="450" t="n">
        <f aca="false">+'Schedule 1 (L)'!M134/8</f>
        <v>0</v>
      </c>
      <c r="N79" s="450" t="n">
        <f aca="false">+'Schedule 1 (L)'!N134/8</f>
        <v>15</v>
      </c>
      <c r="O79" s="450" t="n">
        <f aca="false">+'Schedule 1 (L)'!O134/8</f>
        <v>7.75</v>
      </c>
      <c r="P79" s="450" t="n">
        <f aca="false">+'Schedule 1 (L)'!P134/8</f>
        <v>0</v>
      </c>
      <c r="Q79" s="448" t="n">
        <f aca="false">+E79+H79+K79+N79</f>
        <v>19</v>
      </c>
      <c r="R79" s="80" t="n">
        <f aca="false">+F79+G79+I79+J79+L79+M79+O79+P79</f>
        <v>10.25</v>
      </c>
      <c r="S79" s="74"/>
      <c r="T79" s="74"/>
      <c r="U79" s="74"/>
    </row>
    <row r="80" customFormat="false" ht="13.2" hidden="false" customHeight="false" outlineLevel="0" collapsed="false">
      <c r="A80" s="47" t="n">
        <v>25</v>
      </c>
      <c r="B80" s="205" t="n">
        <v>36722</v>
      </c>
      <c r="C80" s="204" t="n">
        <v>1</v>
      </c>
      <c r="D80" s="74" t="n">
        <v>20</v>
      </c>
      <c r="E80" s="450" t="n">
        <f aca="false">+'Schedule 1 (L)'!E135/8</f>
        <v>0</v>
      </c>
      <c r="F80" s="450" t="n">
        <f aca="false">+'Schedule 1 (L)'!F135/8</f>
        <v>1.625</v>
      </c>
      <c r="G80" s="450" t="n">
        <f aca="false">+'Schedule 1 (L)'!G135/8</f>
        <v>0</v>
      </c>
      <c r="H80" s="450" t="n">
        <f aca="false">+'Schedule 1 (L)'!H135/8</f>
        <v>0</v>
      </c>
      <c r="I80" s="450" t="n">
        <f aca="false">+'Schedule 1 (L)'!I135/8</f>
        <v>1.625</v>
      </c>
      <c r="J80" s="450" t="n">
        <f aca="false">+'Schedule 1 (L)'!J135/8</f>
        <v>0</v>
      </c>
      <c r="K80" s="450" t="n">
        <f aca="false">+'Schedule 1 (L)'!K135/8</f>
        <v>0</v>
      </c>
      <c r="L80" s="450" t="n">
        <f aca="false">+'Schedule 1 (L)'!L135/8</f>
        <v>3.25</v>
      </c>
      <c r="M80" s="450" t="n">
        <f aca="false">+'Schedule 1 (L)'!M135/8</f>
        <v>0</v>
      </c>
      <c r="N80" s="450" t="n">
        <f aca="false">+'Schedule 1 (L)'!N135/8</f>
        <v>0</v>
      </c>
      <c r="O80" s="450" t="n">
        <f aca="false">+'Schedule 1 (L)'!O135/8</f>
        <v>22.75</v>
      </c>
      <c r="P80" s="450" t="n">
        <f aca="false">+'Schedule 1 (L)'!P135/8</f>
        <v>0</v>
      </c>
      <c r="Q80" s="448" t="n">
        <f aca="false">+E80+H80+K80+N80</f>
        <v>0</v>
      </c>
      <c r="R80" s="80" t="n">
        <f aca="false">+F80+G80+I80+J80+L80+M80+O80+P80</f>
        <v>29.25</v>
      </c>
      <c r="S80" s="74"/>
      <c r="T80" s="92"/>
      <c r="U80" s="74"/>
    </row>
    <row r="81" customFormat="false" ht="13.2" hidden="false" customHeight="false" outlineLevel="0" collapsed="false">
      <c r="A81" s="47" t="n">
        <v>26</v>
      </c>
      <c r="B81" s="205" t="n">
        <v>36723</v>
      </c>
      <c r="C81" s="204" t="n">
        <v>1</v>
      </c>
      <c r="D81" s="74" t="n">
        <v>20</v>
      </c>
      <c r="E81" s="450" t="n">
        <f aca="false">+'Schedule 1 (L)'!E136/8</f>
        <v>0</v>
      </c>
      <c r="F81" s="450" t="n">
        <f aca="false">+'Schedule 1 (L)'!F136/8</f>
        <v>0</v>
      </c>
      <c r="G81" s="450" t="n">
        <f aca="false">+'Schedule 1 (L)'!G136/8</f>
        <v>1.625</v>
      </c>
      <c r="H81" s="450" t="n">
        <f aca="false">+'Schedule 1 (L)'!H136/8</f>
        <v>0</v>
      </c>
      <c r="I81" s="450" t="n">
        <f aca="false">+'Schedule 1 (L)'!I136/8</f>
        <v>0</v>
      </c>
      <c r="J81" s="450" t="n">
        <f aca="false">+'Schedule 1 (L)'!J136/8</f>
        <v>1.625</v>
      </c>
      <c r="K81" s="450" t="n">
        <f aca="false">+'Schedule 1 (L)'!K136/8</f>
        <v>0</v>
      </c>
      <c r="L81" s="450" t="n">
        <f aca="false">+'Schedule 1 (L)'!L136/8</f>
        <v>0</v>
      </c>
      <c r="M81" s="450" t="n">
        <f aca="false">+'Schedule 1 (L)'!M136/8</f>
        <v>3.25</v>
      </c>
      <c r="N81" s="450" t="n">
        <f aca="false">+'Schedule 1 (L)'!N136/8</f>
        <v>0</v>
      </c>
      <c r="O81" s="450" t="n">
        <f aca="false">+'Schedule 1 (L)'!O136/8</f>
        <v>0</v>
      </c>
      <c r="P81" s="450" t="n">
        <f aca="false">+'Schedule 1 (L)'!P136/8</f>
        <v>22.75</v>
      </c>
      <c r="Q81" s="448" t="n">
        <f aca="false">+E81+H81+K81+N81</f>
        <v>0</v>
      </c>
      <c r="R81" s="80" t="n">
        <f aca="false">+F81+G81+I81+J81+L81+M81+O81+P81</f>
        <v>29.25</v>
      </c>
      <c r="S81" s="74"/>
      <c r="T81" s="92"/>
      <c r="U81" s="74"/>
    </row>
    <row r="82" customFormat="false" ht="13.2" hidden="false" customHeight="false" outlineLevel="0" collapsed="false">
      <c r="A82" s="47" t="n">
        <v>27</v>
      </c>
      <c r="B82" s="205" t="n">
        <v>36724</v>
      </c>
      <c r="C82" s="204" t="n">
        <v>1</v>
      </c>
      <c r="D82" s="74" t="n">
        <v>22</v>
      </c>
      <c r="E82" s="450" t="n">
        <f aca="false">+'Schedule 1 (L)'!E137/8</f>
        <v>1</v>
      </c>
      <c r="F82" s="450" t="n">
        <f aca="false">+'Schedule 1 (L)'!F137/8</f>
        <v>0.625</v>
      </c>
      <c r="G82" s="450" t="n">
        <f aca="false">+'Schedule 1 (L)'!G137/8</f>
        <v>0</v>
      </c>
      <c r="H82" s="450" t="n">
        <f aca="false">+'Schedule 1 (L)'!H137/8</f>
        <v>1</v>
      </c>
      <c r="I82" s="450" t="n">
        <f aca="false">+'Schedule 1 (L)'!I137/8</f>
        <v>0.625</v>
      </c>
      <c r="J82" s="450" t="n">
        <f aca="false">+'Schedule 1 (L)'!J137/8</f>
        <v>0</v>
      </c>
      <c r="K82" s="450" t="n">
        <f aca="false">+'Schedule 1 (L)'!K137/8</f>
        <v>2</v>
      </c>
      <c r="L82" s="450" t="n">
        <f aca="false">+'Schedule 1 (L)'!L137/8</f>
        <v>1.25</v>
      </c>
      <c r="M82" s="450" t="n">
        <f aca="false">+'Schedule 1 (L)'!M137/8</f>
        <v>0</v>
      </c>
      <c r="N82" s="450" t="n">
        <f aca="false">+'Schedule 1 (L)'!N137/8</f>
        <v>14</v>
      </c>
      <c r="O82" s="450" t="n">
        <f aca="false">+'Schedule 1 (L)'!O137/8</f>
        <v>7.125</v>
      </c>
      <c r="P82" s="450" t="n">
        <f aca="false">+'Schedule 1 (L)'!P137/8</f>
        <v>0</v>
      </c>
      <c r="Q82" s="448" t="n">
        <f aca="false">+E82+H82+K82+N82</f>
        <v>18</v>
      </c>
      <c r="R82" s="80" t="n">
        <f aca="false">+F82+G82+I82+J82+L82+M82+O82+P82</f>
        <v>9.625</v>
      </c>
      <c r="S82" s="74"/>
      <c r="T82" s="92"/>
      <c r="U82" s="74"/>
    </row>
    <row r="83" customFormat="false" ht="13.2" hidden="false" customHeight="false" outlineLevel="0" collapsed="false">
      <c r="A83" s="47" t="n">
        <v>28</v>
      </c>
      <c r="B83" s="205" t="n">
        <v>36725</v>
      </c>
      <c r="C83" s="204" t="n">
        <v>1</v>
      </c>
      <c r="D83" s="74" t="n">
        <v>22</v>
      </c>
      <c r="E83" s="450" t="n">
        <f aca="false">+'Schedule 1 (L)'!E138/8</f>
        <v>1</v>
      </c>
      <c r="F83" s="450" t="n">
        <f aca="false">+'Schedule 1 (L)'!F138/8</f>
        <v>0.625</v>
      </c>
      <c r="G83" s="450" t="n">
        <f aca="false">+'Schedule 1 (L)'!G138/8</f>
        <v>0</v>
      </c>
      <c r="H83" s="450" t="n">
        <f aca="false">+'Schedule 1 (L)'!H138/8</f>
        <v>1</v>
      </c>
      <c r="I83" s="450" t="n">
        <f aca="false">+'Schedule 1 (L)'!I138/8</f>
        <v>0.625</v>
      </c>
      <c r="J83" s="450" t="n">
        <f aca="false">+'Schedule 1 (L)'!J138/8</f>
        <v>0</v>
      </c>
      <c r="K83" s="450" t="n">
        <f aca="false">+'Schedule 1 (L)'!K138/8</f>
        <v>2</v>
      </c>
      <c r="L83" s="450" t="n">
        <f aca="false">+'Schedule 1 (L)'!L138/8</f>
        <v>1.25</v>
      </c>
      <c r="M83" s="450" t="n">
        <f aca="false">+'Schedule 1 (L)'!M138/8</f>
        <v>0</v>
      </c>
      <c r="N83" s="450" t="n">
        <f aca="false">+'Schedule 1 (L)'!N138/8</f>
        <v>14</v>
      </c>
      <c r="O83" s="450" t="n">
        <f aca="false">+'Schedule 1 (L)'!O138/8</f>
        <v>6.125</v>
      </c>
      <c r="P83" s="450" t="n">
        <f aca="false">+'Schedule 1 (L)'!P138/8</f>
        <v>0</v>
      </c>
      <c r="Q83" s="448" t="n">
        <f aca="false">+E83+H83+K83+N83</f>
        <v>18</v>
      </c>
      <c r="R83" s="80" t="n">
        <f aca="false">+F83+G83+I83+J83+L83+M83+O83+P83</f>
        <v>8.625</v>
      </c>
      <c r="S83" s="74"/>
      <c r="T83" s="92"/>
    </row>
    <row r="84" customFormat="false" ht="13.2" hidden="false" customHeight="false" outlineLevel="0" collapsed="false">
      <c r="A84" s="47" t="n">
        <v>29</v>
      </c>
      <c r="B84" s="205" t="n">
        <v>36726</v>
      </c>
      <c r="C84" s="204" t="n">
        <v>1</v>
      </c>
      <c r="D84" s="74" t="n">
        <v>22</v>
      </c>
      <c r="E84" s="450" t="n">
        <f aca="false">+'Schedule 1 (L)'!E139/8</f>
        <v>1</v>
      </c>
      <c r="F84" s="450" t="n">
        <f aca="false">+'Schedule 1 (L)'!F139/8</f>
        <v>0.75</v>
      </c>
      <c r="G84" s="450" t="n">
        <f aca="false">+'Schedule 1 (L)'!G139/8</f>
        <v>0</v>
      </c>
      <c r="H84" s="450" t="n">
        <f aca="false">+'Schedule 1 (L)'!H139/8</f>
        <v>1</v>
      </c>
      <c r="I84" s="450" t="n">
        <f aca="false">+'Schedule 1 (L)'!I139/8</f>
        <v>0.75</v>
      </c>
      <c r="J84" s="450" t="n">
        <f aca="false">+'Schedule 1 (L)'!J139/8</f>
        <v>0</v>
      </c>
      <c r="K84" s="450" t="n">
        <f aca="false">+'Schedule 1 (L)'!K139/8</f>
        <v>2</v>
      </c>
      <c r="L84" s="450" t="n">
        <f aca="false">+'Schedule 1 (L)'!L139/8</f>
        <v>1.25</v>
      </c>
      <c r="M84" s="450" t="n">
        <f aca="false">+'Schedule 1 (L)'!M139/8</f>
        <v>0</v>
      </c>
      <c r="N84" s="450" t="n">
        <f aca="false">+'Schedule 1 (L)'!N139/8</f>
        <v>12</v>
      </c>
      <c r="O84" s="450" t="n">
        <f aca="false">+'Schedule 1 (L)'!O139/8</f>
        <v>7.75</v>
      </c>
      <c r="P84" s="450" t="n">
        <f aca="false">+'Schedule 1 (L)'!P139/8</f>
        <v>0</v>
      </c>
      <c r="Q84" s="448" t="n">
        <f aca="false">+E84+H84+K84+N84</f>
        <v>16</v>
      </c>
      <c r="R84" s="80" t="n">
        <f aca="false">+F84+G84+I84+J84+L84+M84+O84+P84</f>
        <v>10.5</v>
      </c>
      <c r="S84" s="74"/>
      <c r="T84" s="92"/>
    </row>
    <row r="85" customFormat="false" ht="13.2" hidden="false" customHeight="false" outlineLevel="0" collapsed="false">
      <c r="A85" s="47" t="n">
        <v>30</v>
      </c>
      <c r="B85" s="205" t="n">
        <v>36727</v>
      </c>
      <c r="C85" s="204" t="n">
        <v>1</v>
      </c>
      <c r="D85" s="74" t="n">
        <v>22</v>
      </c>
      <c r="E85" s="450" t="n">
        <f aca="false">+'Schedule 1 (L)'!E140/8</f>
        <v>1</v>
      </c>
      <c r="F85" s="450" t="n">
        <f aca="false">+'Schedule 1 (L)'!F140/8</f>
        <v>1</v>
      </c>
      <c r="G85" s="450" t="n">
        <f aca="false">+'Schedule 1 (L)'!G140/8</f>
        <v>0</v>
      </c>
      <c r="H85" s="450" t="n">
        <f aca="false">+'Schedule 1 (L)'!H140/8</f>
        <v>1</v>
      </c>
      <c r="I85" s="450" t="n">
        <f aca="false">+'Schedule 1 (L)'!I140/8</f>
        <v>1</v>
      </c>
      <c r="J85" s="450" t="n">
        <f aca="false">+'Schedule 1 (L)'!J140/8</f>
        <v>0</v>
      </c>
      <c r="K85" s="450" t="n">
        <f aca="false">+'Schedule 1 (L)'!K140/8</f>
        <v>2</v>
      </c>
      <c r="L85" s="450" t="n">
        <f aca="false">+'Schedule 1 (L)'!L140/8</f>
        <v>2</v>
      </c>
      <c r="M85" s="450" t="n">
        <f aca="false">+'Schedule 1 (L)'!M140/8</f>
        <v>0</v>
      </c>
      <c r="N85" s="450" t="n">
        <f aca="false">+'Schedule 1 (L)'!N140/8</f>
        <v>12</v>
      </c>
      <c r="O85" s="450" t="n">
        <f aca="false">+'Schedule 1 (L)'!O140/8</f>
        <v>12</v>
      </c>
      <c r="P85" s="450" t="n">
        <f aca="false">+'Schedule 1 (L)'!P140/8</f>
        <v>0</v>
      </c>
      <c r="Q85" s="448" t="n">
        <f aca="false">+E85+H85+K85+N85</f>
        <v>16</v>
      </c>
      <c r="R85" s="80" t="n">
        <f aca="false">+F85+G85+I85+J85+L85+M85+O85+P85</f>
        <v>16</v>
      </c>
    </row>
    <row r="86" customFormat="false" ht="13.2" hidden="false" customHeight="false" outlineLevel="0" collapsed="false">
      <c r="A86" s="47" t="n">
        <v>31</v>
      </c>
      <c r="B86" s="205" t="n">
        <v>36728</v>
      </c>
      <c r="C86" s="204" t="n">
        <v>1</v>
      </c>
      <c r="D86" s="74" t="n">
        <v>22</v>
      </c>
      <c r="E86" s="450" t="n">
        <f aca="false">+'Schedule 1 (L)'!E141/8</f>
        <v>0</v>
      </c>
      <c r="F86" s="450" t="n">
        <f aca="false">+'Schedule 1 (L)'!F141/8</f>
        <v>0</v>
      </c>
      <c r="G86" s="450" t="n">
        <f aca="false">+'Schedule 1 (L)'!G141/8</f>
        <v>0</v>
      </c>
      <c r="H86" s="450" t="n">
        <f aca="false">+'Schedule 1 (L)'!H141/8</f>
        <v>1</v>
      </c>
      <c r="I86" s="450" t="n">
        <f aca="false">+'Schedule 1 (L)'!I141/8</f>
        <v>0.625</v>
      </c>
      <c r="J86" s="450" t="n">
        <f aca="false">+'Schedule 1 (L)'!J141/8</f>
        <v>0</v>
      </c>
      <c r="K86" s="450" t="n">
        <f aca="false">+'Schedule 1 (L)'!K141/8</f>
        <v>2</v>
      </c>
      <c r="L86" s="450" t="n">
        <f aca="false">+'Schedule 1 (L)'!L141/8</f>
        <v>1.25</v>
      </c>
      <c r="M86" s="450" t="n">
        <f aca="false">+'Schedule 1 (L)'!M141/8</f>
        <v>0</v>
      </c>
      <c r="N86" s="450" t="n">
        <f aca="false">+'Schedule 1 (L)'!N141/8</f>
        <v>11</v>
      </c>
      <c r="O86" s="450" t="n">
        <f aca="false">+'Schedule 1 (L)'!O141/8</f>
        <v>5.5</v>
      </c>
      <c r="P86" s="450" t="n">
        <f aca="false">+'Schedule 1 (L)'!P141/8</f>
        <v>0</v>
      </c>
      <c r="Q86" s="448" t="n">
        <f aca="false">+E86+H86+K86+N86</f>
        <v>14</v>
      </c>
      <c r="R86" s="80" t="n">
        <f aca="false">+F86+G86+I86+J86+L86+M86+O86+P86</f>
        <v>7.375</v>
      </c>
    </row>
    <row r="87" customFormat="false" ht="13.2" hidden="false" customHeight="false" outlineLevel="0" collapsed="false">
      <c r="A87" s="47" t="n">
        <v>32</v>
      </c>
      <c r="B87" s="205" t="n">
        <v>36729</v>
      </c>
      <c r="C87" s="204" t="n">
        <v>1</v>
      </c>
      <c r="D87" s="74" t="n">
        <v>22</v>
      </c>
      <c r="E87" s="450" t="n">
        <f aca="false">+'Schedule 1 (L)'!E142/8</f>
        <v>0</v>
      </c>
      <c r="F87" s="450" t="n">
        <f aca="false">+'Schedule 1 (L)'!F142/8</f>
        <v>0</v>
      </c>
      <c r="G87" s="450" t="n">
        <f aca="false">+'Schedule 1 (L)'!G142/8</f>
        <v>0</v>
      </c>
      <c r="H87" s="450" t="n">
        <f aca="false">+'Schedule 1 (L)'!H142/8</f>
        <v>0</v>
      </c>
      <c r="I87" s="450" t="n">
        <f aca="false">+'Schedule 1 (L)'!I142/8</f>
        <v>1.625</v>
      </c>
      <c r="J87" s="450" t="n">
        <f aca="false">+'Schedule 1 (L)'!J142/8</f>
        <v>0</v>
      </c>
      <c r="K87" s="450" t="n">
        <f aca="false">+'Schedule 1 (L)'!K142/8</f>
        <v>0</v>
      </c>
      <c r="L87" s="450" t="n">
        <f aca="false">+'Schedule 1 (L)'!L142/8</f>
        <v>3.25</v>
      </c>
      <c r="M87" s="450" t="n">
        <f aca="false">+'Schedule 1 (L)'!M142/8</f>
        <v>0</v>
      </c>
      <c r="N87" s="450" t="n">
        <f aca="false">+'Schedule 1 (L)'!N142/8</f>
        <v>0</v>
      </c>
      <c r="O87" s="450" t="n">
        <f aca="false">+'Schedule 1 (L)'!O142/8</f>
        <v>13.125</v>
      </c>
      <c r="P87" s="450" t="n">
        <f aca="false">+'Schedule 1 (L)'!P142/8</f>
        <v>0</v>
      </c>
      <c r="Q87" s="448" t="n">
        <f aca="false">+E87+H87+K87+N87</f>
        <v>0</v>
      </c>
      <c r="R87" s="80" t="n">
        <f aca="false">+F87+G87+I87+J87+L87+M87+O87+P87</f>
        <v>18</v>
      </c>
      <c r="S87" s="74"/>
      <c r="T87" s="92"/>
    </row>
    <row r="88" customFormat="false" ht="13.2" hidden="false" customHeight="false" outlineLevel="0" collapsed="false">
      <c r="A88" s="47" t="n">
        <v>33</v>
      </c>
      <c r="B88" s="205" t="n">
        <v>36730</v>
      </c>
      <c r="C88" s="204" t="n">
        <v>1</v>
      </c>
      <c r="D88" s="74" t="n">
        <v>22</v>
      </c>
      <c r="E88" s="450" t="n">
        <f aca="false">+'Schedule 1 (L)'!E143/8</f>
        <v>0</v>
      </c>
      <c r="F88" s="450" t="n">
        <f aca="false">+'Schedule 1 (L)'!F143/8</f>
        <v>0</v>
      </c>
      <c r="G88" s="450" t="n">
        <f aca="false">+'Schedule 1 (L)'!G143/8</f>
        <v>0</v>
      </c>
      <c r="H88" s="450" t="n">
        <f aca="false">+'Schedule 1 (L)'!H143/8</f>
        <v>0</v>
      </c>
      <c r="I88" s="450" t="n">
        <f aca="false">+'Schedule 1 (L)'!I143/8</f>
        <v>0</v>
      </c>
      <c r="J88" s="450" t="n">
        <f aca="false">+'Schedule 1 (L)'!J143/8</f>
        <v>1.625</v>
      </c>
      <c r="K88" s="450" t="n">
        <f aca="false">+'Schedule 1 (L)'!K143/8</f>
        <v>0</v>
      </c>
      <c r="L88" s="450" t="n">
        <f aca="false">+'Schedule 1 (L)'!L143/8</f>
        <v>0</v>
      </c>
      <c r="M88" s="450" t="n">
        <f aca="false">+'Schedule 1 (L)'!M143/8</f>
        <v>3.25</v>
      </c>
      <c r="N88" s="450" t="n">
        <f aca="false">+'Schedule 1 (L)'!N143/8</f>
        <v>0</v>
      </c>
      <c r="O88" s="450" t="n">
        <f aca="false">+'Schedule 1 (L)'!O143/8</f>
        <v>0</v>
      </c>
      <c r="P88" s="450" t="n">
        <f aca="false">+'Schedule 1 (L)'!P143/8</f>
        <v>6.125</v>
      </c>
      <c r="Q88" s="448" t="n">
        <f aca="false">+E88+H88+K88+N88</f>
        <v>0</v>
      </c>
      <c r="R88" s="80" t="n">
        <f aca="false">+F88+G88+I88+J88+L88+M88+O88+P88</f>
        <v>11</v>
      </c>
      <c r="S88" s="74"/>
      <c r="T88" s="92"/>
    </row>
    <row r="89" customFormat="false" ht="13.2" hidden="false" customHeight="false" outlineLevel="0" collapsed="false">
      <c r="A89" s="47" t="n">
        <v>34</v>
      </c>
      <c r="B89" s="205" t="n">
        <v>36731</v>
      </c>
      <c r="C89" s="204" t="n">
        <v>1</v>
      </c>
      <c r="D89" s="74" t="n">
        <v>23</v>
      </c>
      <c r="E89" s="450" t="n">
        <f aca="false">+'Schedule 1 (L)'!E144/8</f>
        <v>0</v>
      </c>
      <c r="F89" s="450" t="n">
        <f aca="false">+'Schedule 1 (L)'!F144/8</f>
        <v>0</v>
      </c>
      <c r="G89" s="450" t="n">
        <f aca="false">+'Schedule 1 (L)'!G144/8</f>
        <v>0</v>
      </c>
      <c r="H89" s="450" t="n">
        <f aca="false">+'Schedule 1 (L)'!H144/8</f>
        <v>1</v>
      </c>
      <c r="I89" s="450" t="n">
        <f aca="false">+'Schedule 1 (L)'!I144/8</f>
        <v>0</v>
      </c>
      <c r="J89" s="450" t="n">
        <f aca="false">+'Schedule 1 (L)'!J144/8</f>
        <v>0</v>
      </c>
      <c r="K89" s="450" t="n">
        <f aca="false">+'Schedule 1 (L)'!K144/8</f>
        <v>2</v>
      </c>
      <c r="L89" s="450" t="n">
        <f aca="false">+'Schedule 1 (L)'!L144/8</f>
        <v>1.25</v>
      </c>
      <c r="M89" s="450" t="n">
        <f aca="false">+'Schedule 1 (L)'!M144/8</f>
        <v>0</v>
      </c>
      <c r="N89" s="450" t="n">
        <f aca="false">+'Schedule 1 (L)'!N144/8</f>
        <v>3</v>
      </c>
      <c r="O89" s="450" t="n">
        <f aca="false">+'Schedule 1 (L)'!O144/8</f>
        <v>1</v>
      </c>
      <c r="P89" s="450" t="n">
        <f aca="false">+'Schedule 1 (L)'!P144/8</f>
        <v>0</v>
      </c>
      <c r="Q89" s="92" t="n">
        <f aca="false">+E89+H89+K89+N89</f>
        <v>6</v>
      </c>
      <c r="R89" s="80" t="n">
        <f aca="false">+F89+G89+I89+J89+L89+M89+O89+P89</f>
        <v>2.25</v>
      </c>
      <c r="S89" s="74"/>
      <c r="T89" s="92"/>
    </row>
    <row r="90" customFormat="false" ht="13.2" hidden="false" customHeight="false" outlineLevel="0" collapsed="false">
      <c r="A90" s="47" t="n">
        <v>35</v>
      </c>
      <c r="B90" s="205" t="n">
        <v>36732</v>
      </c>
      <c r="C90" s="204" t="n">
        <v>1</v>
      </c>
      <c r="D90" s="74" t="n">
        <v>23</v>
      </c>
      <c r="E90" s="450" t="n">
        <f aca="false">+'Schedule 1 (L)'!E145/8</f>
        <v>0</v>
      </c>
      <c r="F90" s="450" t="n">
        <f aca="false">+'Schedule 1 (L)'!F145/8</f>
        <v>0</v>
      </c>
      <c r="G90" s="450" t="n">
        <f aca="false">+'Schedule 1 (L)'!G145/8</f>
        <v>0</v>
      </c>
      <c r="H90" s="450" t="n">
        <f aca="false">+'Schedule 1 (L)'!H145/8</f>
        <v>0</v>
      </c>
      <c r="I90" s="450" t="n">
        <f aca="false">+'Schedule 1 (L)'!I145/8</f>
        <v>0</v>
      </c>
      <c r="J90" s="450" t="n">
        <f aca="false">+'Schedule 1 (L)'!J145/8</f>
        <v>0</v>
      </c>
      <c r="K90" s="450" t="n">
        <f aca="false">+'Schedule 1 (L)'!K145/8</f>
        <v>2</v>
      </c>
      <c r="L90" s="450" t="n">
        <f aca="false">+'Schedule 1 (L)'!L145/8</f>
        <v>1.25</v>
      </c>
      <c r="M90" s="450" t="n">
        <f aca="false">+'Schedule 1 (L)'!M145/8</f>
        <v>0</v>
      </c>
      <c r="N90" s="450" t="n">
        <f aca="false">+'Schedule 1 (L)'!N145/8</f>
        <v>2</v>
      </c>
      <c r="O90" s="450" t="n">
        <f aca="false">+'Schedule 1 (L)'!O145/8</f>
        <v>1</v>
      </c>
      <c r="P90" s="450" t="n">
        <f aca="false">+'Schedule 1 (L)'!P145/8</f>
        <v>0</v>
      </c>
      <c r="Q90" s="92" t="n">
        <f aca="false">+E90+H90+K90+N90</f>
        <v>4</v>
      </c>
      <c r="R90" s="80" t="n">
        <f aca="false">+F90+G90+I90+J90+L90+M90+O90+P90</f>
        <v>2.25</v>
      </c>
      <c r="S90" s="74"/>
      <c r="T90" s="92"/>
    </row>
    <row r="91" customFormat="false" ht="13.2" hidden="false" customHeight="false" outlineLevel="0" collapsed="false">
      <c r="A91" s="47" t="n">
        <v>36</v>
      </c>
      <c r="B91" s="205" t="n">
        <v>36733</v>
      </c>
      <c r="C91" s="204" t="n">
        <v>1</v>
      </c>
      <c r="D91" s="74" t="n">
        <v>23</v>
      </c>
      <c r="E91" s="450" t="n">
        <f aca="false">+'Schedule 1 (L)'!E146/8</f>
        <v>0</v>
      </c>
      <c r="F91" s="450" t="n">
        <f aca="false">+'Schedule 1 (L)'!F146/8</f>
        <v>0</v>
      </c>
      <c r="G91" s="450" t="n">
        <f aca="false">+'Schedule 1 (L)'!G146/8</f>
        <v>0</v>
      </c>
      <c r="H91" s="450" t="n">
        <f aca="false">+'Schedule 1 (L)'!H146/8</f>
        <v>0</v>
      </c>
      <c r="I91" s="450" t="n">
        <f aca="false">+'Schedule 1 (L)'!I146/8</f>
        <v>0</v>
      </c>
      <c r="J91" s="450" t="n">
        <f aca="false">+'Schedule 1 (L)'!J146/8</f>
        <v>0</v>
      </c>
      <c r="K91" s="450" t="n">
        <f aca="false">+'Schedule 1 (L)'!K146/8</f>
        <v>2</v>
      </c>
      <c r="L91" s="450" t="n">
        <f aca="false">+'Schedule 1 (L)'!L146/8</f>
        <v>1.25</v>
      </c>
      <c r="M91" s="450" t="n">
        <f aca="false">+'Schedule 1 (L)'!M146/8</f>
        <v>0</v>
      </c>
      <c r="N91" s="450" t="n">
        <f aca="false">+'Schedule 1 (L)'!N146/8</f>
        <v>2</v>
      </c>
      <c r="O91" s="450" t="n">
        <f aca="false">+'Schedule 1 (L)'!O146/8</f>
        <v>1</v>
      </c>
      <c r="P91" s="450" t="n">
        <f aca="false">+'Schedule 1 (L)'!P146/8</f>
        <v>0</v>
      </c>
      <c r="Q91" s="92" t="n">
        <f aca="false">+E91+H91+K91+N91</f>
        <v>4</v>
      </c>
      <c r="R91" s="80" t="n">
        <f aca="false">+F91+G91+I91+J91+L91+M91+O91+P91</f>
        <v>2.25</v>
      </c>
      <c r="S91" s="74"/>
      <c r="T91" s="92"/>
    </row>
    <row r="92" customFormat="false" ht="13.2" hidden="false" customHeight="false" outlineLevel="0" collapsed="false">
      <c r="A92" s="47" t="n">
        <v>37</v>
      </c>
      <c r="B92" s="205" t="n">
        <v>36734</v>
      </c>
      <c r="C92" s="204" t="n">
        <v>1</v>
      </c>
      <c r="D92" s="74" t="n">
        <v>23</v>
      </c>
      <c r="E92" s="450" t="n">
        <f aca="false">+'Schedule 1 (L)'!E147/8</f>
        <v>0</v>
      </c>
      <c r="F92" s="450" t="n">
        <f aca="false">+'Schedule 1 (L)'!F147/8</f>
        <v>0</v>
      </c>
      <c r="G92" s="450" t="n">
        <f aca="false">+'Schedule 1 (L)'!G147/8</f>
        <v>0</v>
      </c>
      <c r="H92" s="450" t="n">
        <f aca="false">+'Schedule 1 (L)'!H147/8</f>
        <v>0</v>
      </c>
      <c r="I92" s="450" t="n">
        <f aca="false">+'Schedule 1 (L)'!I147/8</f>
        <v>0</v>
      </c>
      <c r="J92" s="450" t="n">
        <f aca="false">+'Schedule 1 (L)'!J147/8</f>
        <v>0</v>
      </c>
      <c r="K92" s="450" t="n">
        <f aca="false">+'Schedule 1 (L)'!K147/8</f>
        <v>2</v>
      </c>
      <c r="L92" s="450" t="n">
        <f aca="false">+'Schedule 1 (L)'!L147/8</f>
        <v>1.25</v>
      </c>
      <c r="M92" s="450" t="n">
        <f aca="false">+'Schedule 1 (L)'!M147/8</f>
        <v>0</v>
      </c>
      <c r="N92" s="450" t="n">
        <f aca="false">+'Schedule 1 (L)'!N147/8</f>
        <v>2</v>
      </c>
      <c r="O92" s="450" t="n">
        <f aca="false">+'Schedule 1 (L)'!O147/8</f>
        <v>1</v>
      </c>
      <c r="P92" s="450" t="n">
        <f aca="false">+'Schedule 1 (L)'!P147/8</f>
        <v>0</v>
      </c>
      <c r="Q92" s="92" t="n">
        <f aca="false">+E92+H92+K92+N92</f>
        <v>4</v>
      </c>
      <c r="R92" s="80" t="n">
        <f aca="false">+F92+G92+I92+J92+L92+M92+O92+P92</f>
        <v>2.25</v>
      </c>
    </row>
    <row r="93" customFormat="false" ht="13.2" hidden="false" customHeight="false" outlineLevel="0" collapsed="false">
      <c r="A93" s="47" t="n">
        <v>38</v>
      </c>
      <c r="B93" s="205" t="n">
        <v>36735</v>
      </c>
      <c r="C93" s="204" t="n">
        <v>1</v>
      </c>
      <c r="D93" s="74" t="n">
        <v>23</v>
      </c>
      <c r="E93" s="450" t="n">
        <f aca="false">+'Schedule 1 (L)'!E148/8</f>
        <v>0</v>
      </c>
      <c r="F93" s="450" t="n">
        <f aca="false">+'Schedule 1 (L)'!F148/8</f>
        <v>0</v>
      </c>
      <c r="G93" s="450" t="n">
        <f aca="false">+'Schedule 1 (L)'!G148/8</f>
        <v>0</v>
      </c>
      <c r="H93" s="450" t="n">
        <f aca="false">+'Schedule 1 (L)'!H148/8</f>
        <v>0</v>
      </c>
      <c r="I93" s="450" t="n">
        <f aca="false">+'Schedule 1 (L)'!I148/8</f>
        <v>0</v>
      </c>
      <c r="J93" s="450" t="n">
        <f aca="false">+'Schedule 1 (L)'!J148/8</f>
        <v>0</v>
      </c>
      <c r="K93" s="450" t="n">
        <f aca="false">+'Schedule 1 (L)'!K148/8</f>
        <v>2</v>
      </c>
      <c r="L93" s="450" t="n">
        <f aca="false">+'Schedule 1 (L)'!L148/8</f>
        <v>1.25</v>
      </c>
      <c r="M93" s="450" t="n">
        <f aca="false">+'Schedule 1 (L)'!M148/8</f>
        <v>0</v>
      </c>
      <c r="N93" s="450" t="n">
        <f aca="false">+'Schedule 1 (L)'!N148/8</f>
        <v>2</v>
      </c>
      <c r="O93" s="450" t="n">
        <f aca="false">+'Schedule 1 (L)'!O148/8</f>
        <v>1</v>
      </c>
      <c r="P93" s="450" t="n">
        <f aca="false">+'Schedule 1 (L)'!P148/8</f>
        <v>0</v>
      </c>
      <c r="Q93" s="92" t="n">
        <f aca="false">+E93+H93+K93+N93</f>
        <v>4</v>
      </c>
      <c r="R93" s="80" t="n">
        <f aca="false">+F93+G93+I93+J93+L93+M93+O93+P93</f>
        <v>2.25</v>
      </c>
    </row>
    <row r="94" customFormat="false" ht="13.2" hidden="false" customHeight="false" outlineLevel="0" collapsed="false">
      <c r="A94" s="47" t="n">
        <v>39</v>
      </c>
      <c r="B94" s="205" t="n">
        <v>36736</v>
      </c>
      <c r="C94" s="204" t="n">
        <v>1</v>
      </c>
      <c r="D94" s="74" t="n">
        <v>23</v>
      </c>
      <c r="E94" s="450" t="n">
        <f aca="false">+'Schedule 1 (L)'!E149/8</f>
        <v>0</v>
      </c>
      <c r="F94" s="450" t="n">
        <f aca="false">+'Schedule 1 (L)'!F149/8</f>
        <v>0</v>
      </c>
      <c r="G94" s="450" t="n">
        <f aca="false">+'Schedule 1 (L)'!G149/8</f>
        <v>0</v>
      </c>
      <c r="H94" s="450" t="n">
        <f aca="false">+'Schedule 1 (L)'!H149/8</f>
        <v>0</v>
      </c>
      <c r="I94" s="450" t="n">
        <f aca="false">+'Schedule 1 (L)'!I149/8</f>
        <v>0</v>
      </c>
      <c r="J94" s="450" t="n">
        <f aca="false">+'Schedule 1 (L)'!J149/8</f>
        <v>0</v>
      </c>
      <c r="K94" s="450" t="n">
        <f aca="false">+'Schedule 1 (L)'!K149/8</f>
        <v>0</v>
      </c>
      <c r="L94" s="450" t="n">
        <f aca="false">+'Schedule 1 (L)'!L149/8</f>
        <v>3.25</v>
      </c>
      <c r="M94" s="450" t="n">
        <f aca="false">+'Schedule 1 (L)'!M149/8</f>
        <v>0</v>
      </c>
      <c r="N94" s="450" t="n">
        <f aca="false">+'Schedule 1 (L)'!N149/8</f>
        <v>0</v>
      </c>
      <c r="O94" s="450" t="n">
        <f aca="false">+'Schedule 1 (L)'!O149/8</f>
        <v>3</v>
      </c>
      <c r="P94" s="450" t="n">
        <f aca="false">+'Schedule 1 (L)'!P149/8</f>
        <v>0</v>
      </c>
      <c r="Q94" s="92" t="n">
        <f aca="false">+E94+H94+K94+N94</f>
        <v>0</v>
      </c>
      <c r="R94" s="80" t="n">
        <f aca="false">+F94+G94+I94+J94+L94+M94+O94+P94</f>
        <v>6.25</v>
      </c>
      <c r="S94" s="74"/>
      <c r="T94" s="92"/>
    </row>
    <row r="95" customFormat="false" ht="13.2" hidden="false" customHeight="false" outlineLevel="0" collapsed="false">
      <c r="A95" s="47" t="n">
        <v>40</v>
      </c>
      <c r="B95" s="205" t="n">
        <v>36737</v>
      </c>
      <c r="C95" s="204" t="n">
        <v>1</v>
      </c>
      <c r="D95" s="74" t="n">
        <v>23</v>
      </c>
      <c r="E95" s="450" t="n">
        <f aca="false">+'Schedule 1 (L)'!E150/8</f>
        <v>0</v>
      </c>
      <c r="F95" s="450" t="n">
        <f aca="false">+'Schedule 1 (L)'!F150/8</f>
        <v>0</v>
      </c>
      <c r="G95" s="450" t="n">
        <f aca="false">+'Schedule 1 (L)'!G150/8</f>
        <v>0</v>
      </c>
      <c r="H95" s="450" t="n">
        <f aca="false">+'Schedule 1 (L)'!H150/8</f>
        <v>0</v>
      </c>
      <c r="I95" s="450" t="n">
        <f aca="false">+'Schedule 1 (L)'!I150/8</f>
        <v>0</v>
      </c>
      <c r="J95" s="450" t="n">
        <f aca="false">+'Schedule 1 (L)'!J150/8</f>
        <v>0</v>
      </c>
      <c r="K95" s="450" t="n">
        <f aca="false">+'Schedule 1 (L)'!K150/8</f>
        <v>0</v>
      </c>
      <c r="L95" s="450" t="n">
        <f aca="false">+'Schedule 1 (L)'!L150/8</f>
        <v>0</v>
      </c>
      <c r="M95" s="450" t="n">
        <f aca="false">+'Schedule 1 (L)'!M150/8</f>
        <v>3.25</v>
      </c>
      <c r="N95" s="450" t="n">
        <f aca="false">+'Schedule 1 (L)'!N150/8</f>
        <v>0</v>
      </c>
      <c r="O95" s="450" t="n">
        <f aca="false">+'Schedule 1 (L)'!O150/8</f>
        <v>0</v>
      </c>
      <c r="P95" s="450" t="n">
        <f aca="false">+'Schedule 1 (L)'!P150/8</f>
        <v>3</v>
      </c>
      <c r="Q95" s="92" t="n">
        <f aca="false">+E95+H95+K95+N95</f>
        <v>0</v>
      </c>
      <c r="R95" s="80" t="n">
        <f aca="false">+F95+G95+I95+J95+L95+M95+O95+P95</f>
        <v>6.25</v>
      </c>
      <c r="S95" s="74"/>
      <c r="T95" s="92"/>
    </row>
    <row r="96" customFormat="false" ht="13.2" hidden="false" customHeight="false" outlineLevel="0" collapsed="false">
      <c r="E96" s="450" t="n">
        <f aca="false">+'Schedule 1 (L)'!E151/8</f>
        <v>0</v>
      </c>
      <c r="F96" s="450" t="n">
        <f aca="false">+'Schedule 1 (L)'!F151/8</f>
        <v>0</v>
      </c>
      <c r="G96" s="450" t="n">
        <f aca="false">+'Schedule 1 (L)'!G151/8</f>
        <v>0</v>
      </c>
      <c r="H96" s="450" t="n">
        <f aca="false">+'Schedule 1 (L)'!H151/8</f>
        <v>0</v>
      </c>
      <c r="I96" s="450" t="n">
        <f aca="false">+'Schedule 1 (L)'!I151/8</f>
        <v>0</v>
      </c>
      <c r="J96" s="450" t="n">
        <f aca="false">+'Schedule 1 (L)'!J151/8</f>
        <v>0</v>
      </c>
      <c r="K96" s="450" t="n">
        <f aca="false">+'Schedule 1 (L)'!K151/8</f>
        <v>0</v>
      </c>
      <c r="L96" s="450" t="n">
        <f aca="false">+'Schedule 1 (L)'!L151/8</f>
        <v>0</v>
      </c>
      <c r="M96" s="450" t="n">
        <f aca="false">+'Schedule 1 (L)'!M151/8</f>
        <v>0</v>
      </c>
      <c r="N96" s="450" t="n">
        <f aca="false">+'Schedule 1 (L)'!N151/8</f>
        <v>0</v>
      </c>
      <c r="O96" s="450" t="n">
        <f aca="false">+'Schedule 1 (L)'!O151/8</f>
        <v>0</v>
      </c>
      <c r="P96" s="450" t="n">
        <f aca="false">+'Schedule 1 (L)'!P151/8</f>
        <v>0</v>
      </c>
      <c r="Q96" s="92"/>
      <c r="R96" s="80"/>
      <c r="S96" s="74"/>
      <c r="T96" s="92"/>
    </row>
    <row r="97" customFormat="false" ht="13.2" hidden="false" customHeight="false" outlineLevel="0" collapsed="false">
      <c r="B97" s="73" t="s">
        <v>156</v>
      </c>
      <c r="C97" s="82"/>
      <c r="D97" s="82"/>
      <c r="E97" s="203" t="n">
        <f aca="false">SUM(E56:E96)</f>
        <v>10</v>
      </c>
      <c r="F97" s="203" t="n">
        <f aca="false">SUM(F56:F96)</f>
        <v>7.75</v>
      </c>
      <c r="G97" s="203" t="n">
        <f aca="false">SUM(G56:G96)</f>
        <v>1.625</v>
      </c>
      <c r="H97" s="203" t="n">
        <f aca="false">SUM(H56:H96)</f>
        <v>23</v>
      </c>
      <c r="I97" s="203" t="n">
        <f aca="false">SUM(I56:I96)</f>
        <v>22.375</v>
      </c>
      <c r="J97" s="203" t="n">
        <f aca="false">SUM(J56:J96)</f>
        <v>10.125</v>
      </c>
      <c r="K97" s="203" t="n">
        <f aca="false">SUM(K56:K96)</f>
        <v>53</v>
      </c>
      <c r="L97" s="203" t="n">
        <f aca="false">SUM(L56:L96)</f>
        <v>50.875</v>
      </c>
      <c r="M97" s="203" t="n">
        <f aca="false">SUM(M56:M96)</f>
        <v>23</v>
      </c>
      <c r="N97" s="203" t="n">
        <f aca="false">SUM(N56:N96)</f>
        <v>293</v>
      </c>
      <c r="O97" s="203" t="n">
        <f aca="false">SUM(O56:O96)</f>
        <v>247.875</v>
      </c>
      <c r="P97" s="203" t="n">
        <f aca="false">SUM(P56:P96)</f>
        <v>114</v>
      </c>
      <c r="Q97" s="203" t="n">
        <f aca="false">SUM(Q56:Q96)</f>
        <v>379</v>
      </c>
      <c r="R97" s="75" t="n">
        <f aca="false">SUM(R56:R96)</f>
        <v>477.625</v>
      </c>
      <c r="S97" s="74"/>
      <c r="T97" s="92"/>
    </row>
    <row r="98" customFormat="false" ht="13.2" hidden="false" customHeight="false" outlineLevel="0" collapsed="false">
      <c r="B98" s="73" t="s">
        <v>199</v>
      </c>
      <c r="C98" s="246"/>
      <c r="D98" s="246"/>
      <c r="E98" s="75" t="n">
        <v>100</v>
      </c>
      <c r="F98" s="75" t="n">
        <v>150</v>
      </c>
      <c r="G98" s="80" t="n">
        <v>200</v>
      </c>
      <c r="H98" s="80" t="n">
        <v>52</v>
      </c>
      <c r="I98" s="80" t="n">
        <v>65.5</v>
      </c>
      <c r="J98" s="80" t="n">
        <v>81</v>
      </c>
      <c r="K98" s="80" t="n">
        <v>48</v>
      </c>
      <c r="L98" s="80" t="n">
        <v>63</v>
      </c>
      <c r="M98" s="80" t="n">
        <v>77.5</v>
      </c>
      <c r="N98" s="80" t="n">
        <v>46</v>
      </c>
      <c r="O98" s="80" t="n">
        <v>59</v>
      </c>
      <c r="P98" s="80" t="n">
        <v>72.5</v>
      </c>
      <c r="Q98" s="80"/>
      <c r="R98" s="80"/>
      <c r="S98" s="74"/>
      <c r="T98" s="92"/>
    </row>
    <row r="99" customFormat="false" ht="13.2" hidden="false" customHeight="false" outlineLevel="0" collapsed="false">
      <c r="B99" s="73"/>
      <c r="C99" s="246"/>
      <c r="D99" s="74"/>
      <c r="E99" s="247"/>
      <c r="F99" s="247"/>
      <c r="G99" s="247"/>
      <c r="H99" s="247"/>
      <c r="I99" s="247"/>
      <c r="J99" s="247"/>
      <c r="K99" s="247"/>
      <c r="L99" s="247"/>
      <c r="M99" s="247"/>
      <c r="N99" s="247"/>
      <c r="O99" s="247"/>
      <c r="P99" s="247"/>
      <c r="Q99" s="92"/>
      <c r="R99" s="80"/>
    </row>
    <row r="100" customFormat="false" ht="13.2" hidden="false" customHeight="false" outlineLevel="0" collapsed="false">
      <c r="B100" s="73" t="s">
        <v>850</v>
      </c>
      <c r="C100" s="74"/>
      <c r="D100" s="74"/>
      <c r="E100" s="92"/>
      <c r="F100" s="92"/>
      <c r="G100" s="92"/>
      <c r="H100" s="92"/>
      <c r="I100" s="92"/>
      <c r="J100" s="92"/>
      <c r="K100" s="92"/>
      <c r="L100" s="92"/>
      <c r="M100" s="92"/>
      <c r="N100" s="92"/>
      <c r="O100" s="92"/>
      <c r="P100" s="92"/>
      <c r="Q100" s="92"/>
      <c r="R100" s="80"/>
    </row>
    <row r="101" customFormat="false" ht="13.2" hidden="false" customHeight="false" outlineLevel="0" collapsed="false">
      <c r="C101" s="73" t="s">
        <v>851</v>
      </c>
      <c r="D101" s="74"/>
      <c r="E101" s="92"/>
      <c r="F101" s="92"/>
      <c r="G101" s="92"/>
      <c r="H101" s="92"/>
      <c r="I101" s="92"/>
      <c r="J101" s="92"/>
      <c r="K101" s="92"/>
      <c r="L101" s="92"/>
      <c r="M101" s="92"/>
      <c r="N101" s="92"/>
      <c r="O101" s="92"/>
      <c r="P101" s="92"/>
      <c r="Q101" s="92"/>
      <c r="R101" s="80"/>
    </row>
    <row r="102" customFormat="false" ht="13.2" hidden="false" customHeight="false" outlineLevel="0" collapsed="false">
      <c r="B102" s="73" t="s">
        <v>204</v>
      </c>
      <c r="C102" s="74"/>
      <c r="D102" s="74"/>
      <c r="E102" s="92"/>
      <c r="F102" s="203" t="n">
        <v>40</v>
      </c>
      <c r="G102" s="91" t="s">
        <v>202</v>
      </c>
      <c r="H102" s="81" t="n">
        <v>150</v>
      </c>
      <c r="I102" s="203"/>
      <c r="J102" s="92"/>
      <c r="K102" s="92"/>
      <c r="L102" s="92"/>
      <c r="M102" s="92"/>
      <c r="N102" s="92"/>
      <c r="O102" s="92"/>
      <c r="P102" s="92"/>
      <c r="Q102" s="92"/>
      <c r="R102" s="80" t="n">
        <f aca="false">+F102*H102</f>
        <v>6000</v>
      </c>
    </row>
    <row r="103" customFormat="false" ht="13.2" hidden="false" customHeight="false" outlineLevel="0" collapsed="false">
      <c r="B103" s="201" t="s">
        <v>165</v>
      </c>
      <c r="C103" s="74"/>
      <c r="D103" s="61" t="s">
        <v>147</v>
      </c>
      <c r="E103" s="92"/>
      <c r="F103" s="202" t="s">
        <v>182</v>
      </c>
      <c r="G103" s="92"/>
      <c r="H103" s="92"/>
      <c r="I103" s="202" t="s">
        <v>183</v>
      </c>
      <c r="J103" s="92"/>
      <c r="K103" s="91"/>
      <c r="L103" s="202" t="s">
        <v>184</v>
      </c>
      <c r="M103" s="92"/>
      <c r="N103" s="92"/>
      <c r="O103" s="202" t="s">
        <v>185</v>
      </c>
      <c r="P103" s="92"/>
      <c r="Q103" s="92"/>
      <c r="R103" s="202" t="s">
        <v>186</v>
      </c>
      <c r="S103" s="92"/>
      <c r="T103" s="203" t="s">
        <v>841</v>
      </c>
      <c r="U103" s="75" t="s">
        <v>143</v>
      </c>
    </row>
    <row r="104" customFormat="false" ht="13.2" hidden="false" customHeight="false" outlineLevel="0" collapsed="false">
      <c r="B104" s="73" t="s">
        <v>187</v>
      </c>
      <c r="C104" s="204" t="s">
        <v>188</v>
      </c>
      <c r="D104" s="204" t="s">
        <v>189</v>
      </c>
      <c r="E104" s="203" t="s">
        <v>190</v>
      </c>
      <c r="F104" s="203" t="s">
        <v>191</v>
      </c>
      <c r="G104" s="203" t="s">
        <v>192</v>
      </c>
      <c r="H104" s="203" t="s">
        <v>190</v>
      </c>
      <c r="I104" s="203" t="s">
        <v>191</v>
      </c>
      <c r="J104" s="203" t="s">
        <v>192</v>
      </c>
      <c r="K104" s="203" t="s">
        <v>190</v>
      </c>
      <c r="L104" s="203" t="s">
        <v>191</v>
      </c>
      <c r="M104" s="203" t="s">
        <v>192</v>
      </c>
      <c r="N104" s="203" t="s">
        <v>190</v>
      </c>
      <c r="O104" s="203" t="s">
        <v>193</v>
      </c>
      <c r="P104" s="203" t="s">
        <v>192</v>
      </c>
      <c r="Q104" s="203" t="s">
        <v>190</v>
      </c>
      <c r="R104" s="203" t="s">
        <v>194</v>
      </c>
      <c r="S104" s="203" t="s">
        <v>195</v>
      </c>
      <c r="T104" s="203" t="s">
        <v>842</v>
      </c>
      <c r="U104" s="203" t="s">
        <v>843</v>
      </c>
    </row>
    <row r="105" customFormat="false" ht="13.2" hidden="false" customHeight="false" outlineLevel="0" collapsed="false">
      <c r="A105" s="47" t="n">
        <v>1</v>
      </c>
      <c r="B105" s="205" t="n">
        <v>36701</v>
      </c>
      <c r="C105" s="204" t="n">
        <v>2</v>
      </c>
      <c r="D105" s="204" t="n">
        <v>3</v>
      </c>
      <c r="E105" s="450" t="n">
        <f aca="false">+'Schedule 1 (L)'!E162/8</f>
        <v>0</v>
      </c>
      <c r="F105" s="450" t="n">
        <f aca="false">+'Schedule 1 (L)'!F162/8</f>
        <v>0</v>
      </c>
      <c r="G105" s="450" t="n">
        <f aca="false">+'Schedule 1 (L)'!G162/8</f>
        <v>0</v>
      </c>
      <c r="H105" s="450" t="n">
        <f aca="false">+'Schedule 1 (L)'!H162/8</f>
        <v>0</v>
      </c>
      <c r="I105" s="450" t="n">
        <f aca="false">+'Schedule 1 (L)'!I162/8</f>
        <v>0</v>
      </c>
      <c r="J105" s="450" t="n">
        <f aca="false">+'Schedule 1 (L)'!J162/8</f>
        <v>0</v>
      </c>
      <c r="K105" s="450" t="n">
        <f aca="false">+'Schedule 1 (L)'!K162/8</f>
        <v>0</v>
      </c>
      <c r="L105" s="450" t="n">
        <f aca="false">+'Schedule 1 (L)'!L162/8</f>
        <v>0</v>
      </c>
      <c r="M105" s="450" t="n">
        <f aca="false">+'Schedule 1 (L)'!M162/8</f>
        <v>0</v>
      </c>
      <c r="N105" s="450" t="n">
        <f aca="false">+'Schedule 1 (L)'!N162/8</f>
        <v>0</v>
      </c>
      <c r="O105" s="450" t="n">
        <f aca="false">+'Schedule 1 (L)'!O162/8</f>
        <v>0</v>
      </c>
      <c r="P105" s="450" t="n">
        <f aca="false">+'Schedule 1 (L)'!P162/8</f>
        <v>0</v>
      </c>
      <c r="Q105" s="450" t="n">
        <f aca="false">+'Schedule 1 (L)'!Q162/8</f>
        <v>0</v>
      </c>
      <c r="R105" s="450" t="n">
        <f aca="false">+'Schedule 1 (L)'!R162/8</f>
        <v>3</v>
      </c>
      <c r="S105" s="450" t="n">
        <f aca="false">+'Schedule 1 (L)'!S162/8</f>
        <v>0</v>
      </c>
      <c r="T105" s="92" t="n">
        <f aca="false">+E105+H105+K105+N105+Q105</f>
        <v>0</v>
      </c>
      <c r="U105" s="80" t="n">
        <f aca="false">+F105+G105+I105+J105+L105+M105+O105+P105+R105+S105</f>
        <v>3</v>
      </c>
    </row>
    <row r="106" customFormat="false" ht="13.2" hidden="false" customHeight="false" outlineLevel="0" collapsed="false">
      <c r="A106" s="47" t="n">
        <v>2</v>
      </c>
      <c r="B106" s="205" t="n">
        <v>36704</v>
      </c>
      <c r="C106" s="204" t="n">
        <v>2</v>
      </c>
      <c r="D106" s="204" t="n">
        <v>5</v>
      </c>
      <c r="E106" s="450" t="n">
        <f aca="false">+'Schedule 1 (L)'!E163/8</f>
        <v>0</v>
      </c>
      <c r="F106" s="450" t="n">
        <f aca="false">+'Schedule 1 (L)'!F163/8</f>
        <v>0</v>
      </c>
      <c r="G106" s="450" t="n">
        <f aca="false">+'Schedule 1 (L)'!G163/8</f>
        <v>0</v>
      </c>
      <c r="H106" s="450" t="n">
        <f aca="false">+'Schedule 1 (L)'!H163/8</f>
        <v>0</v>
      </c>
      <c r="I106" s="450" t="n">
        <f aca="false">+'Schedule 1 (L)'!I163/8</f>
        <v>0</v>
      </c>
      <c r="J106" s="450" t="n">
        <f aca="false">+'Schedule 1 (L)'!J163/8</f>
        <v>0</v>
      </c>
      <c r="K106" s="450" t="n">
        <f aca="false">+'Schedule 1 (L)'!K163/8</f>
        <v>0</v>
      </c>
      <c r="L106" s="450" t="n">
        <f aca="false">+'Schedule 1 (L)'!L163/8</f>
        <v>0</v>
      </c>
      <c r="M106" s="450" t="n">
        <f aca="false">+'Schedule 1 (L)'!M163/8</f>
        <v>0</v>
      </c>
      <c r="N106" s="450" t="n">
        <f aca="false">+'Schedule 1 (L)'!N163/8</f>
        <v>1</v>
      </c>
      <c r="O106" s="450" t="n">
        <f aca="false">+'Schedule 1 (L)'!O163/8</f>
        <v>0.625</v>
      </c>
      <c r="P106" s="450" t="n">
        <f aca="false">+'Schedule 1 (L)'!P163/8</f>
        <v>0</v>
      </c>
      <c r="Q106" s="450" t="n">
        <f aca="false">+'Schedule 1 (L)'!Q163/8</f>
        <v>5</v>
      </c>
      <c r="R106" s="450" t="n">
        <f aca="false">+'Schedule 1 (L)'!R163/8</f>
        <v>2.5</v>
      </c>
      <c r="S106" s="450" t="n">
        <f aca="false">+'Schedule 1 (L)'!S163/8</f>
        <v>0</v>
      </c>
      <c r="T106" s="92" t="n">
        <f aca="false">+E106+H106+K106+N106+Q106</f>
        <v>6</v>
      </c>
      <c r="U106" s="80" t="n">
        <f aca="false">+F106+G106+I106+J106+L106+M106+O106+P106+R106+S106</f>
        <v>3.125</v>
      </c>
    </row>
    <row r="107" customFormat="false" ht="13.2" hidden="false" customHeight="false" outlineLevel="0" collapsed="false">
      <c r="A107" s="47" t="n">
        <v>3</v>
      </c>
      <c r="B107" s="205" t="n">
        <v>36705</v>
      </c>
      <c r="C107" s="204" t="n">
        <v>2</v>
      </c>
      <c r="D107" s="204" t="n">
        <v>5</v>
      </c>
      <c r="E107" s="450" t="n">
        <f aca="false">+'Schedule 1 (L)'!E164/8</f>
        <v>0</v>
      </c>
      <c r="F107" s="450" t="n">
        <f aca="false">+'Schedule 1 (L)'!F164/8</f>
        <v>0</v>
      </c>
      <c r="G107" s="450" t="n">
        <f aca="false">+'Schedule 1 (L)'!G164/8</f>
        <v>0</v>
      </c>
      <c r="H107" s="450" t="n">
        <f aca="false">+'Schedule 1 (L)'!H164/8</f>
        <v>0</v>
      </c>
      <c r="I107" s="450" t="n">
        <f aca="false">+'Schedule 1 (L)'!I164/8</f>
        <v>0</v>
      </c>
      <c r="J107" s="450" t="n">
        <f aca="false">+'Schedule 1 (L)'!J164/8</f>
        <v>0</v>
      </c>
      <c r="K107" s="450" t="n">
        <f aca="false">+'Schedule 1 (L)'!K164/8</f>
        <v>0</v>
      </c>
      <c r="L107" s="450" t="n">
        <f aca="false">+'Schedule 1 (L)'!L164/8</f>
        <v>0</v>
      </c>
      <c r="M107" s="450" t="n">
        <f aca="false">+'Schedule 1 (L)'!M164/8</f>
        <v>0</v>
      </c>
      <c r="N107" s="450" t="n">
        <f aca="false">+'Schedule 1 (L)'!N164/8</f>
        <v>0.5</v>
      </c>
      <c r="O107" s="450" t="n">
        <f aca="false">+'Schedule 1 (L)'!O164/8</f>
        <v>0</v>
      </c>
      <c r="P107" s="450" t="n">
        <f aca="false">+'Schedule 1 (L)'!P164/8</f>
        <v>0</v>
      </c>
      <c r="Q107" s="450" t="n">
        <f aca="false">+'Schedule 1 (L)'!Q164/8</f>
        <v>2.5</v>
      </c>
      <c r="R107" s="450" t="n">
        <f aca="false">+'Schedule 1 (L)'!R164/8</f>
        <v>0</v>
      </c>
      <c r="S107" s="450" t="n">
        <f aca="false">+'Schedule 1 (L)'!S164/8</f>
        <v>0</v>
      </c>
      <c r="T107" s="92" t="n">
        <f aca="false">+E107+H107+K107+N107+Q107</f>
        <v>3</v>
      </c>
      <c r="U107" s="80" t="n">
        <f aca="false">+F107+G107+I107+J107+L107+M107+O107+P107+R107+S107</f>
        <v>0</v>
      </c>
    </row>
    <row r="108" customFormat="false" ht="13.2" hidden="false" customHeight="false" outlineLevel="0" collapsed="false">
      <c r="A108" s="47" t="n">
        <v>4</v>
      </c>
      <c r="B108" s="205" t="n">
        <v>36738</v>
      </c>
      <c r="C108" s="204" t="n">
        <v>2</v>
      </c>
      <c r="D108" s="74" t="n">
        <v>13</v>
      </c>
      <c r="E108" s="450" t="n">
        <f aca="false">+'Schedule 1 (L)'!E165/8</f>
        <v>0</v>
      </c>
      <c r="F108" s="450" t="n">
        <f aca="false">+'Schedule 1 (L)'!F165/8</f>
        <v>0</v>
      </c>
      <c r="G108" s="450" t="n">
        <f aca="false">+'Schedule 1 (L)'!G165/8</f>
        <v>0</v>
      </c>
      <c r="H108" s="450" t="n">
        <f aca="false">+'Schedule 1 (L)'!H165/8</f>
        <v>0</v>
      </c>
      <c r="I108" s="450" t="n">
        <f aca="false">+'Schedule 1 (L)'!I165/8</f>
        <v>0</v>
      </c>
      <c r="J108" s="450" t="n">
        <f aca="false">+'Schedule 1 (L)'!J165/8</f>
        <v>0</v>
      </c>
      <c r="K108" s="450" t="n">
        <f aca="false">+'Schedule 1 (L)'!K165/8</f>
        <v>1</v>
      </c>
      <c r="L108" s="450" t="n">
        <f aca="false">+'Schedule 1 (L)'!L165/8</f>
        <v>0.625</v>
      </c>
      <c r="M108" s="450" t="n">
        <f aca="false">+'Schedule 1 (L)'!M165/8</f>
        <v>0</v>
      </c>
      <c r="N108" s="450" t="n">
        <f aca="false">+'Schedule 1 (L)'!N165/8</f>
        <v>1</v>
      </c>
      <c r="O108" s="450" t="n">
        <f aca="false">+'Schedule 1 (L)'!O165/8</f>
        <v>0.625</v>
      </c>
      <c r="P108" s="450" t="n">
        <f aca="false">+'Schedule 1 (L)'!P165/8</f>
        <v>0</v>
      </c>
      <c r="Q108" s="450" t="n">
        <f aca="false">+'Schedule 1 (L)'!Q165/8</f>
        <v>7</v>
      </c>
      <c r="R108" s="450" t="n">
        <f aca="false">+'Schedule 1 (L)'!R165/8</f>
        <v>2</v>
      </c>
      <c r="S108" s="450" t="n">
        <f aca="false">+'Schedule 1 (L)'!S165/8</f>
        <v>0</v>
      </c>
      <c r="T108" s="92" t="n">
        <f aca="false">+E108+H108+K108+N108+Q108</f>
        <v>9</v>
      </c>
      <c r="U108" s="80" t="n">
        <f aca="false">+F108+G108+I108+J108+L108+M108+O108+P108+R108+S108</f>
        <v>3.25</v>
      </c>
    </row>
    <row r="109" customFormat="false" ht="13.2" hidden="false" customHeight="false" outlineLevel="0" collapsed="false">
      <c r="A109" s="47" t="n">
        <v>5</v>
      </c>
      <c r="B109" s="205" t="n">
        <v>36739</v>
      </c>
      <c r="C109" s="204" t="n">
        <v>2</v>
      </c>
      <c r="D109" s="74" t="n">
        <v>13</v>
      </c>
      <c r="E109" s="450" t="n">
        <f aca="false">+'Schedule 1 (L)'!E166/8</f>
        <v>0</v>
      </c>
      <c r="F109" s="450" t="n">
        <f aca="false">+'Schedule 1 (L)'!F166/8</f>
        <v>0</v>
      </c>
      <c r="G109" s="450" t="n">
        <f aca="false">+'Schedule 1 (L)'!G166/8</f>
        <v>0</v>
      </c>
      <c r="H109" s="450" t="n">
        <f aca="false">+'Schedule 1 (L)'!H166/8</f>
        <v>0</v>
      </c>
      <c r="I109" s="450" t="n">
        <f aca="false">+'Schedule 1 (L)'!I166/8</f>
        <v>0</v>
      </c>
      <c r="J109" s="450" t="n">
        <f aca="false">+'Schedule 1 (L)'!J166/8</f>
        <v>0</v>
      </c>
      <c r="K109" s="450" t="n">
        <f aca="false">+'Schedule 1 (L)'!K166/8</f>
        <v>1</v>
      </c>
      <c r="L109" s="450" t="n">
        <f aca="false">+'Schedule 1 (L)'!L166/8</f>
        <v>0.5</v>
      </c>
      <c r="M109" s="450" t="n">
        <f aca="false">+'Schedule 1 (L)'!M166/8</f>
        <v>0</v>
      </c>
      <c r="N109" s="450" t="n">
        <f aca="false">+'Schedule 1 (L)'!N166/8</f>
        <v>1</v>
      </c>
      <c r="O109" s="450" t="n">
        <f aca="false">+'Schedule 1 (L)'!O166/8</f>
        <v>0.5</v>
      </c>
      <c r="P109" s="450" t="n">
        <f aca="false">+'Schedule 1 (L)'!P166/8</f>
        <v>0</v>
      </c>
      <c r="Q109" s="450" t="n">
        <f aca="false">+'Schedule 1 (L)'!Q166/8</f>
        <v>4</v>
      </c>
      <c r="R109" s="450" t="n">
        <f aca="false">+'Schedule 1 (L)'!R166/8</f>
        <v>2</v>
      </c>
      <c r="S109" s="450" t="n">
        <f aca="false">+'Schedule 1 (L)'!S166/8</f>
        <v>0</v>
      </c>
      <c r="T109" s="92" t="n">
        <f aca="false">+E109+H109+K109+N109+Q109</f>
        <v>6</v>
      </c>
      <c r="U109" s="80" t="n">
        <f aca="false">+F109+G109+I109+J109+L109+M109+O109+P109+R109+S109</f>
        <v>3</v>
      </c>
    </row>
    <row r="110" customFormat="false" ht="13.2" hidden="false" customHeight="false" outlineLevel="0" collapsed="false">
      <c r="A110" s="47" t="n">
        <v>6</v>
      </c>
      <c r="B110" s="205" t="n">
        <v>36740</v>
      </c>
      <c r="C110" s="204" t="n">
        <v>2</v>
      </c>
      <c r="D110" s="74" t="n">
        <v>13</v>
      </c>
      <c r="E110" s="450" t="n">
        <f aca="false">+'Schedule 1 (L)'!E167/8</f>
        <v>0</v>
      </c>
      <c r="F110" s="450" t="n">
        <f aca="false">+'Schedule 1 (L)'!F167/8</f>
        <v>0</v>
      </c>
      <c r="G110" s="450" t="n">
        <f aca="false">+'Schedule 1 (L)'!G167/8</f>
        <v>0</v>
      </c>
      <c r="H110" s="450" t="n">
        <f aca="false">+'Schedule 1 (L)'!H167/8</f>
        <v>0</v>
      </c>
      <c r="I110" s="450" t="n">
        <f aca="false">+'Schedule 1 (L)'!I167/8</f>
        <v>0</v>
      </c>
      <c r="J110" s="450" t="n">
        <f aca="false">+'Schedule 1 (L)'!J167/8</f>
        <v>0</v>
      </c>
      <c r="K110" s="450" t="n">
        <f aca="false">+'Schedule 1 (L)'!K167/8</f>
        <v>1</v>
      </c>
      <c r="L110" s="450" t="n">
        <f aca="false">+'Schedule 1 (L)'!L167/8</f>
        <v>0.5</v>
      </c>
      <c r="M110" s="450" t="n">
        <f aca="false">+'Schedule 1 (L)'!M167/8</f>
        <v>0</v>
      </c>
      <c r="N110" s="450" t="n">
        <f aca="false">+'Schedule 1 (L)'!N167/8</f>
        <v>1</v>
      </c>
      <c r="O110" s="450" t="n">
        <f aca="false">+'Schedule 1 (L)'!O167/8</f>
        <v>0.5</v>
      </c>
      <c r="P110" s="450" t="n">
        <f aca="false">+'Schedule 1 (L)'!P167/8</f>
        <v>0</v>
      </c>
      <c r="Q110" s="450" t="n">
        <f aca="false">+'Schedule 1 (L)'!Q167/8</f>
        <v>4</v>
      </c>
      <c r="R110" s="450" t="n">
        <f aca="false">+'Schedule 1 (L)'!R167/8</f>
        <v>2</v>
      </c>
      <c r="S110" s="450" t="n">
        <f aca="false">+'Schedule 1 (L)'!S167/8</f>
        <v>0</v>
      </c>
      <c r="T110" s="92" t="n">
        <f aca="false">+E110+H110+K110+N110+Q110</f>
        <v>6</v>
      </c>
      <c r="U110" s="80" t="n">
        <f aca="false">+F110+G110+I110+J110+L110+M110+O110+P110+R110+S110</f>
        <v>3</v>
      </c>
    </row>
    <row r="111" customFormat="false" ht="13.2" hidden="false" customHeight="false" outlineLevel="0" collapsed="false">
      <c r="A111" s="47" t="n">
        <v>7</v>
      </c>
      <c r="B111" s="205" t="n">
        <v>36741</v>
      </c>
      <c r="C111" s="204" t="n">
        <v>2</v>
      </c>
      <c r="D111" s="74" t="n">
        <v>13</v>
      </c>
      <c r="E111" s="450" t="n">
        <f aca="false">+'Schedule 1 (L)'!E168/8</f>
        <v>0</v>
      </c>
      <c r="F111" s="450" t="n">
        <f aca="false">+'Schedule 1 (L)'!F168/8</f>
        <v>0</v>
      </c>
      <c r="G111" s="450" t="n">
        <f aca="false">+'Schedule 1 (L)'!G168/8</f>
        <v>0</v>
      </c>
      <c r="H111" s="450" t="n">
        <f aca="false">+'Schedule 1 (L)'!H168/8</f>
        <v>0</v>
      </c>
      <c r="I111" s="450" t="n">
        <f aca="false">+'Schedule 1 (L)'!I168/8</f>
        <v>0</v>
      </c>
      <c r="J111" s="450" t="n">
        <f aca="false">+'Schedule 1 (L)'!J168/8</f>
        <v>0</v>
      </c>
      <c r="K111" s="450" t="n">
        <f aca="false">+'Schedule 1 (L)'!K168/8</f>
        <v>1</v>
      </c>
      <c r="L111" s="450" t="n">
        <f aca="false">+'Schedule 1 (L)'!L168/8</f>
        <v>0.5</v>
      </c>
      <c r="M111" s="450" t="n">
        <f aca="false">+'Schedule 1 (L)'!M168/8</f>
        <v>0</v>
      </c>
      <c r="N111" s="450" t="n">
        <f aca="false">+'Schedule 1 (L)'!N168/8</f>
        <v>1</v>
      </c>
      <c r="O111" s="450" t="n">
        <f aca="false">+'Schedule 1 (L)'!O168/8</f>
        <v>0.5</v>
      </c>
      <c r="P111" s="450" t="n">
        <f aca="false">+'Schedule 1 (L)'!P168/8</f>
        <v>0</v>
      </c>
      <c r="Q111" s="450" t="n">
        <f aca="false">+'Schedule 1 (L)'!Q168/8</f>
        <v>4</v>
      </c>
      <c r="R111" s="450" t="n">
        <f aca="false">+'Schedule 1 (L)'!R168/8</f>
        <v>2</v>
      </c>
      <c r="S111" s="450" t="n">
        <f aca="false">+'Schedule 1 (L)'!S168/8</f>
        <v>0</v>
      </c>
      <c r="T111" s="92" t="n">
        <f aca="false">+E111+H111+K111+N111+Q111</f>
        <v>6</v>
      </c>
      <c r="U111" s="80" t="n">
        <f aca="false">+F111+G111+I111+J111+L111+M111+O111+P111+R111+S111</f>
        <v>3</v>
      </c>
    </row>
    <row r="112" customFormat="false" ht="13.2" hidden="false" customHeight="false" outlineLevel="0" collapsed="false">
      <c r="A112" s="47" t="n">
        <v>8</v>
      </c>
      <c r="B112" s="205" t="n">
        <v>36742</v>
      </c>
      <c r="C112" s="204" t="n">
        <v>2</v>
      </c>
      <c r="D112" s="74" t="n">
        <v>13</v>
      </c>
      <c r="E112" s="450" t="n">
        <f aca="false">+'Schedule 1 (L)'!E169/8</f>
        <v>0</v>
      </c>
      <c r="F112" s="450" t="n">
        <f aca="false">+'Schedule 1 (L)'!F169/8</f>
        <v>0</v>
      </c>
      <c r="G112" s="450" t="n">
        <f aca="false">+'Schedule 1 (L)'!G169/8</f>
        <v>0</v>
      </c>
      <c r="H112" s="450" t="n">
        <f aca="false">+'Schedule 1 (L)'!H169/8</f>
        <v>0</v>
      </c>
      <c r="I112" s="450" t="n">
        <f aca="false">+'Schedule 1 (L)'!I169/8</f>
        <v>0</v>
      </c>
      <c r="J112" s="450" t="n">
        <f aca="false">+'Schedule 1 (L)'!J169/8</f>
        <v>0</v>
      </c>
      <c r="K112" s="450" t="n">
        <f aca="false">+'Schedule 1 (L)'!K169/8</f>
        <v>2</v>
      </c>
      <c r="L112" s="450" t="n">
        <f aca="false">+'Schedule 1 (L)'!L169/8</f>
        <v>0.5</v>
      </c>
      <c r="M112" s="450" t="n">
        <f aca="false">+'Schedule 1 (L)'!M169/8</f>
        <v>0</v>
      </c>
      <c r="N112" s="450" t="n">
        <f aca="false">+'Schedule 1 (L)'!N169/8</f>
        <v>2</v>
      </c>
      <c r="O112" s="450" t="n">
        <f aca="false">+'Schedule 1 (L)'!O169/8</f>
        <v>0.5</v>
      </c>
      <c r="P112" s="450" t="n">
        <f aca="false">+'Schedule 1 (L)'!P169/8</f>
        <v>0</v>
      </c>
      <c r="Q112" s="450" t="n">
        <f aca="false">+'Schedule 1 (L)'!Q169/8</f>
        <v>9</v>
      </c>
      <c r="R112" s="450" t="n">
        <f aca="false">+'Schedule 1 (L)'!R169/8</f>
        <v>2</v>
      </c>
      <c r="S112" s="450" t="n">
        <f aca="false">+'Schedule 1 (L)'!S169/8</f>
        <v>0</v>
      </c>
      <c r="T112" s="92" t="n">
        <f aca="false">+E112+H112+K112+N112+Q112</f>
        <v>13</v>
      </c>
      <c r="U112" s="80" t="n">
        <f aca="false">+F112+G112+I112+J112+L112+M112+O112+P112+R112+S112</f>
        <v>3</v>
      </c>
    </row>
    <row r="113" customFormat="false" ht="13.2" hidden="false" customHeight="false" outlineLevel="0" collapsed="false">
      <c r="E113" s="450" t="n">
        <f aca="false">+'Schedule 1 (L)'!E170/8</f>
        <v>0</v>
      </c>
      <c r="F113" s="450" t="n">
        <f aca="false">+'Schedule 1 (L)'!F170/8</f>
        <v>0</v>
      </c>
      <c r="G113" s="450" t="n">
        <f aca="false">+'Schedule 1 (L)'!G170/8</f>
        <v>0</v>
      </c>
      <c r="H113" s="450" t="n">
        <f aca="false">+'Schedule 1 (L)'!H170/8</f>
        <v>0</v>
      </c>
      <c r="I113" s="450" t="n">
        <f aca="false">+'Schedule 1 (L)'!I170/8</f>
        <v>0</v>
      </c>
      <c r="J113" s="450" t="n">
        <f aca="false">+'Schedule 1 (L)'!J170/8</f>
        <v>0</v>
      </c>
      <c r="K113" s="450" t="n">
        <f aca="false">+'Schedule 1 (L)'!K170/8</f>
        <v>0</v>
      </c>
      <c r="L113" s="450" t="n">
        <f aca="false">+'Schedule 1 (L)'!L170/8</f>
        <v>0</v>
      </c>
      <c r="M113" s="450" t="n">
        <f aca="false">+'Schedule 1 (L)'!M170/8</f>
        <v>0</v>
      </c>
      <c r="N113" s="450" t="n">
        <f aca="false">+'Schedule 1 (L)'!N170/8</f>
        <v>0</v>
      </c>
      <c r="O113" s="450" t="n">
        <f aca="false">+'Schedule 1 (L)'!O170/8</f>
        <v>0</v>
      </c>
      <c r="P113" s="450" t="n">
        <f aca="false">+'Schedule 1 (L)'!P170/8</f>
        <v>0</v>
      </c>
      <c r="Q113" s="450" t="n">
        <f aca="false">+'Schedule 1 (L)'!Q170/8</f>
        <v>0</v>
      </c>
      <c r="R113" s="450" t="n">
        <f aca="false">+'Schedule 1 (L)'!R170/8</f>
        <v>0</v>
      </c>
      <c r="S113" s="450" t="n">
        <f aca="false">+'Schedule 1 (L)'!S170/8</f>
        <v>0</v>
      </c>
      <c r="T113" s="92"/>
      <c r="U113" s="80"/>
    </row>
    <row r="114" customFormat="false" ht="13.2" hidden="false" customHeight="false" outlineLevel="0" collapsed="false">
      <c r="B114" s="73" t="s">
        <v>156</v>
      </c>
      <c r="C114" s="82"/>
      <c r="D114" s="82"/>
      <c r="E114" s="203" t="n">
        <f aca="false">SUM(E105:E113)</f>
        <v>0</v>
      </c>
      <c r="F114" s="203" t="n">
        <f aca="false">SUM(F105:F113)</f>
        <v>0</v>
      </c>
      <c r="G114" s="203" t="n">
        <f aca="false">SUM(G105:G113)</f>
        <v>0</v>
      </c>
      <c r="H114" s="203" t="n">
        <f aca="false">SUM(H105:H113)</f>
        <v>0</v>
      </c>
      <c r="I114" s="203" t="n">
        <f aca="false">SUM(I105:I113)</f>
        <v>0</v>
      </c>
      <c r="J114" s="203" t="n">
        <f aca="false">SUM(J105:J113)</f>
        <v>0</v>
      </c>
      <c r="K114" s="203" t="n">
        <f aca="false">SUM(K105:K113)</f>
        <v>6</v>
      </c>
      <c r="L114" s="203" t="n">
        <f aca="false">SUM(L105:L113)</f>
        <v>2.625</v>
      </c>
      <c r="M114" s="203" t="n">
        <f aca="false">SUM(M105:M113)</f>
        <v>0</v>
      </c>
      <c r="N114" s="203" t="n">
        <f aca="false">SUM(N105:N113)</f>
        <v>7.5</v>
      </c>
      <c r="O114" s="203" t="n">
        <f aca="false">SUM(O105:O113)</f>
        <v>3.25</v>
      </c>
      <c r="P114" s="203" t="n">
        <f aca="false">SUM(P105:P113)</f>
        <v>0</v>
      </c>
      <c r="Q114" s="203" t="n">
        <f aca="false">SUM(Q105:Q113)</f>
        <v>35.5</v>
      </c>
      <c r="R114" s="203" t="n">
        <f aca="false">SUM(R105:R113)</f>
        <v>15.5</v>
      </c>
      <c r="S114" s="203" t="n">
        <f aca="false">SUM(S105:S113)</f>
        <v>0</v>
      </c>
      <c r="T114" s="203" t="n">
        <f aca="false">SUM(T105:T113)</f>
        <v>49</v>
      </c>
      <c r="U114" s="75" t="n">
        <f aca="false">SUM(U105:U113)</f>
        <v>21.375</v>
      </c>
    </row>
    <row r="115" customFormat="false" ht="13.2" hidden="false" customHeight="false" outlineLevel="0" collapsed="false">
      <c r="B115" s="73" t="s">
        <v>199</v>
      </c>
      <c r="C115" s="246"/>
      <c r="D115" s="246"/>
      <c r="E115" s="75" t="n">
        <v>85</v>
      </c>
      <c r="F115" s="75" t="n">
        <v>95</v>
      </c>
      <c r="G115" s="80" t="n">
        <v>125</v>
      </c>
      <c r="H115" s="75" t="n">
        <v>100</v>
      </c>
      <c r="I115" s="75" t="n">
        <v>150</v>
      </c>
      <c r="J115" s="80" t="n">
        <v>200</v>
      </c>
      <c r="K115" s="80" t="n">
        <v>52</v>
      </c>
      <c r="L115" s="80" t="n">
        <v>65.5</v>
      </c>
      <c r="M115" s="80" t="n">
        <v>81</v>
      </c>
      <c r="N115" s="80" t="n">
        <v>48</v>
      </c>
      <c r="O115" s="80" t="n">
        <v>63</v>
      </c>
      <c r="P115" s="80" t="n">
        <v>77.5</v>
      </c>
      <c r="Q115" s="80" t="n">
        <v>46</v>
      </c>
      <c r="R115" s="80" t="n">
        <v>59</v>
      </c>
      <c r="S115" s="80" t="n">
        <v>72.5</v>
      </c>
      <c r="T115" s="80"/>
      <c r="U115" s="80"/>
    </row>
    <row r="116" customFormat="false" ht="13.2" hidden="false" customHeight="false" outlineLevel="0" collapsed="false">
      <c r="B116" s="73"/>
      <c r="E116" s="247"/>
      <c r="F116" s="247"/>
      <c r="G116" s="247"/>
      <c r="H116" s="247"/>
      <c r="I116" s="247"/>
      <c r="J116" s="247"/>
      <c r="K116" s="247"/>
      <c r="L116" s="247"/>
      <c r="M116" s="247"/>
      <c r="N116" s="247"/>
      <c r="O116" s="247"/>
      <c r="P116" s="247"/>
      <c r="Q116" s="92"/>
      <c r="R116" s="80"/>
    </row>
    <row r="120" customFormat="false" ht="13.2" hidden="false" customHeight="false" outlineLevel="0" collapsed="false">
      <c r="B120" s="201" t="s">
        <v>166</v>
      </c>
      <c r="C120" s="74"/>
      <c r="D120" s="74" t="s">
        <v>147</v>
      </c>
      <c r="E120" s="92"/>
      <c r="F120" s="91" t="s">
        <v>183</v>
      </c>
      <c r="G120" s="92"/>
      <c r="H120" s="91"/>
      <c r="I120" s="91" t="s">
        <v>184</v>
      </c>
      <c r="J120" s="92"/>
      <c r="K120" s="92"/>
      <c r="L120" s="91" t="s">
        <v>185</v>
      </c>
      <c r="M120" s="92"/>
      <c r="N120" s="92"/>
      <c r="O120" s="91" t="s">
        <v>186</v>
      </c>
      <c r="P120" s="92"/>
      <c r="Q120" s="203" t="s">
        <v>845</v>
      </c>
      <c r="R120" s="75" t="s">
        <v>143</v>
      </c>
    </row>
    <row r="121" customFormat="false" ht="13.2" hidden="false" customHeight="false" outlineLevel="0" collapsed="false">
      <c r="B121" s="73" t="s">
        <v>187</v>
      </c>
      <c r="C121" s="204" t="s">
        <v>188</v>
      </c>
      <c r="D121" s="204" t="s">
        <v>189</v>
      </c>
      <c r="E121" s="203" t="s">
        <v>190</v>
      </c>
      <c r="F121" s="203" t="s">
        <v>191</v>
      </c>
      <c r="G121" s="203" t="s">
        <v>192</v>
      </c>
      <c r="H121" s="203" t="s">
        <v>190</v>
      </c>
      <c r="I121" s="203" t="s">
        <v>191</v>
      </c>
      <c r="J121" s="203" t="s">
        <v>192</v>
      </c>
      <c r="K121" s="203" t="s">
        <v>190</v>
      </c>
      <c r="L121" s="203" t="s">
        <v>193</v>
      </c>
      <c r="M121" s="203" t="s">
        <v>192</v>
      </c>
      <c r="N121" s="203" t="s">
        <v>190</v>
      </c>
      <c r="O121" s="203" t="s">
        <v>194</v>
      </c>
      <c r="P121" s="203" t="s">
        <v>195</v>
      </c>
      <c r="Q121" s="203" t="s">
        <v>842</v>
      </c>
      <c r="R121" s="203" t="s">
        <v>843</v>
      </c>
    </row>
    <row r="122" customFormat="false" ht="13.2" hidden="false" customHeight="false" outlineLevel="0" collapsed="false">
      <c r="A122" s="47" t="n">
        <v>1</v>
      </c>
      <c r="B122" s="205" t="n">
        <v>36704</v>
      </c>
      <c r="C122" s="204" t="n">
        <v>2</v>
      </c>
      <c r="D122" s="204" t="n">
        <v>17</v>
      </c>
      <c r="E122" s="450" t="n">
        <f aca="false">+'Schedule 1 (L)'!E179/8</f>
        <v>0</v>
      </c>
      <c r="F122" s="450" t="n">
        <f aca="false">+'Schedule 1 (L)'!F179/8</f>
        <v>0</v>
      </c>
      <c r="G122" s="450" t="n">
        <f aca="false">+'Schedule 1 (L)'!G179/8</f>
        <v>0</v>
      </c>
      <c r="H122" s="450" t="n">
        <f aca="false">+'Schedule 1 (L)'!H179/8</f>
        <v>0</v>
      </c>
      <c r="I122" s="450" t="n">
        <f aca="false">+'Schedule 1 (L)'!I179/8</f>
        <v>0</v>
      </c>
      <c r="J122" s="450" t="n">
        <f aca="false">+'Schedule 1 (L)'!J179/8</f>
        <v>0</v>
      </c>
      <c r="K122" s="450" t="n">
        <f aca="false">+'Schedule 1 (L)'!K179/8</f>
        <v>1</v>
      </c>
      <c r="L122" s="450" t="n">
        <f aca="false">+'Schedule 1 (L)'!L179/8</f>
        <v>0.625</v>
      </c>
      <c r="M122" s="450" t="n">
        <f aca="false">+'Schedule 1 (L)'!M179/8</f>
        <v>0</v>
      </c>
      <c r="N122" s="450" t="n">
        <f aca="false">+'Schedule 1 (L)'!N179/8</f>
        <v>5</v>
      </c>
      <c r="O122" s="450" t="n">
        <f aca="false">+'Schedule 1 (L)'!O179/8</f>
        <v>2.5</v>
      </c>
      <c r="P122" s="450" t="n">
        <f aca="false">+'Schedule 1 (L)'!P179/8</f>
        <v>0</v>
      </c>
      <c r="Q122" s="92" t="n">
        <f aca="false">+E122+H122+K122+N122</f>
        <v>6</v>
      </c>
      <c r="R122" s="80" t="n">
        <f aca="false">+F122+G122+I122+J122+L122+M122+O122+P122</f>
        <v>3.125</v>
      </c>
    </row>
    <row r="123" customFormat="false" ht="13.2" hidden="false" customHeight="false" outlineLevel="0" collapsed="false">
      <c r="E123" s="450" t="n">
        <f aca="false">+'Schedule 1 (L)'!E180/8</f>
        <v>0</v>
      </c>
      <c r="F123" s="450" t="n">
        <f aca="false">+'Schedule 1 (L)'!F180/8</f>
        <v>0</v>
      </c>
      <c r="G123" s="450" t="n">
        <f aca="false">+'Schedule 1 (L)'!G180/8</f>
        <v>0</v>
      </c>
      <c r="H123" s="450" t="n">
        <f aca="false">+'Schedule 1 (L)'!H180/8</f>
        <v>0</v>
      </c>
      <c r="I123" s="450" t="n">
        <f aca="false">+'Schedule 1 (L)'!I180/8</f>
        <v>0</v>
      </c>
      <c r="J123" s="450" t="n">
        <f aca="false">+'Schedule 1 (L)'!J180/8</f>
        <v>0</v>
      </c>
      <c r="K123" s="450" t="n">
        <f aca="false">+'Schedule 1 (L)'!K180/8</f>
        <v>0</v>
      </c>
      <c r="L123" s="450" t="n">
        <f aca="false">+'Schedule 1 (L)'!L180/8</f>
        <v>0</v>
      </c>
      <c r="M123" s="450" t="n">
        <f aca="false">+'Schedule 1 (L)'!M180/8</f>
        <v>0</v>
      </c>
      <c r="N123" s="450" t="n">
        <f aca="false">+'Schedule 1 (L)'!N180/8</f>
        <v>0</v>
      </c>
      <c r="O123" s="450" t="n">
        <f aca="false">+'Schedule 1 (L)'!O180/8</f>
        <v>0</v>
      </c>
      <c r="P123" s="450" t="n">
        <f aca="false">+'Schedule 1 (L)'!P180/8</f>
        <v>0</v>
      </c>
      <c r="Q123" s="92"/>
      <c r="R123" s="80"/>
    </row>
    <row r="124" customFormat="false" ht="13.2" hidden="false" customHeight="false" outlineLevel="0" collapsed="false">
      <c r="B124" s="73" t="s">
        <v>156</v>
      </c>
      <c r="C124" s="82"/>
      <c r="D124" s="82"/>
      <c r="E124" s="203" t="n">
        <f aca="false">SUM(E122:E123)</f>
        <v>0</v>
      </c>
      <c r="F124" s="203" t="n">
        <f aca="false">SUM(F122:F123)</f>
        <v>0</v>
      </c>
      <c r="G124" s="203" t="n">
        <f aca="false">SUM(G122:G123)</f>
        <v>0</v>
      </c>
      <c r="H124" s="203" t="n">
        <f aca="false">SUM(H122:H123)</f>
        <v>0</v>
      </c>
      <c r="I124" s="203" t="n">
        <f aca="false">SUM(I122:I123)</f>
        <v>0</v>
      </c>
      <c r="J124" s="203" t="n">
        <f aca="false">SUM(J122:J123)</f>
        <v>0</v>
      </c>
      <c r="K124" s="203" t="n">
        <f aca="false">SUM(K122:K123)</f>
        <v>1</v>
      </c>
      <c r="L124" s="203" t="n">
        <f aca="false">SUM(L122:L123)</f>
        <v>0.625</v>
      </c>
      <c r="M124" s="203" t="n">
        <f aca="false">SUM(M122:M123)</f>
        <v>0</v>
      </c>
      <c r="N124" s="203" t="n">
        <f aca="false">SUM(N122:N123)</f>
        <v>5</v>
      </c>
      <c r="O124" s="203" t="n">
        <f aca="false">SUM(O122:O123)</f>
        <v>2.5</v>
      </c>
      <c r="P124" s="203" t="n">
        <f aca="false">SUM(P122:P123)</f>
        <v>0</v>
      </c>
      <c r="Q124" s="203" t="n">
        <f aca="false">SUM(Q122:Q123)</f>
        <v>6</v>
      </c>
      <c r="R124" s="75" t="n">
        <f aca="false">SUM(R122:R123)</f>
        <v>3.125</v>
      </c>
    </row>
    <row r="125" customFormat="false" ht="13.2" hidden="false" customHeight="false" outlineLevel="0" collapsed="false">
      <c r="B125" s="73" t="s">
        <v>199</v>
      </c>
      <c r="C125" s="246"/>
      <c r="D125" s="246"/>
      <c r="E125" s="75" t="n">
        <v>100</v>
      </c>
      <c r="F125" s="75" t="n">
        <v>150</v>
      </c>
      <c r="G125" s="80" t="n">
        <v>200</v>
      </c>
      <c r="H125" s="80" t="n">
        <v>52</v>
      </c>
      <c r="I125" s="80" t="n">
        <v>65.5</v>
      </c>
      <c r="J125" s="80" t="n">
        <v>81</v>
      </c>
      <c r="K125" s="80" t="n">
        <v>48</v>
      </c>
      <c r="L125" s="80" t="n">
        <v>63</v>
      </c>
      <c r="M125" s="80" t="n">
        <v>77.5</v>
      </c>
      <c r="N125" s="80" t="n">
        <v>46</v>
      </c>
      <c r="O125" s="80" t="n">
        <v>59</v>
      </c>
      <c r="P125" s="80" t="n">
        <v>72.5</v>
      </c>
      <c r="Q125" s="80"/>
      <c r="R125" s="80"/>
    </row>
    <row r="126" customFormat="false" ht="13.2" hidden="false" customHeight="false" outlineLevel="0" collapsed="false">
      <c r="B126" s="73"/>
      <c r="E126" s="247"/>
      <c r="F126" s="247"/>
      <c r="G126" s="247"/>
      <c r="H126" s="247"/>
      <c r="I126" s="247"/>
      <c r="J126" s="247"/>
      <c r="K126" s="247"/>
      <c r="L126" s="247"/>
      <c r="M126" s="247"/>
      <c r="N126" s="247"/>
      <c r="O126" s="247"/>
      <c r="P126" s="247"/>
      <c r="Q126" s="92"/>
      <c r="R126" s="80"/>
    </row>
    <row r="130" customFormat="false" ht="13.2" hidden="false" customHeight="false" outlineLevel="0" collapsed="false">
      <c r="B130" s="201" t="s">
        <v>165</v>
      </c>
      <c r="C130" s="74"/>
      <c r="D130" s="61" t="s">
        <v>148</v>
      </c>
      <c r="E130" s="92"/>
      <c r="F130" s="202" t="s">
        <v>182</v>
      </c>
      <c r="G130" s="92"/>
      <c r="H130" s="92"/>
      <c r="I130" s="202" t="s">
        <v>183</v>
      </c>
      <c r="J130" s="92"/>
      <c r="K130" s="91"/>
      <c r="L130" s="202" t="s">
        <v>184</v>
      </c>
      <c r="M130" s="92"/>
      <c r="N130" s="92"/>
      <c r="O130" s="202" t="s">
        <v>185</v>
      </c>
      <c r="P130" s="92"/>
      <c r="Q130" s="92"/>
      <c r="R130" s="202" t="s">
        <v>186</v>
      </c>
      <c r="S130" s="92"/>
      <c r="T130" s="203" t="s">
        <v>841</v>
      </c>
      <c r="U130" s="75" t="s">
        <v>143</v>
      </c>
    </row>
    <row r="131" customFormat="false" ht="13.2" hidden="false" customHeight="false" outlineLevel="0" collapsed="false">
      <c r="B131" s="73" t="s">
        <v>187</v>
      </c>
      <c r="C131" s="204" t="s">
        <v>188</v>
      </c>
      <c r="D131" s="204" t="s">
        <v>189</v>
      </c>
      <c r="E131" s="203" t="s">
        <v>190</v>
      </c>
      <c r="F131" s="203" t="s">
        <v>191</v>
      </c>
      <c r="G131" s="203" t="s">
        <v>192</v>
      </c>
      <c r="H131" s="203" t="s">
        <v>190</v>
      </c>
      <c r="I131" s="203" t="s">
        <v>191</v>
      </c>
      <c r="J131" s="203" t="s">
        <v>192</v>
      </c>
      <c r="K131" s="203" t="s">
        <v>190</v>
      </c>
      <c r="L131" s="203" t="s">
        <v>191</v>
      </c>
      <c r="M131" s="203" t="s">
        <v>192</v>
      </c>
      <c r="N131" s="203" t="s">
        <v>190</v>
      </c>
      <c r="O131" s="203" t="s">
        <v>193</v>
      </c>
      <c r="P131" s="203" t="s">
        <v>192</v>
      </c>
      <c r="Q131" s="203" t="s">
        <v>190</v>
      </c>
      <c r="R131" s="203" t="s">
        <v>194</v>
      </c>
      <c r="S131" s="203" t="s">
        <v>195</v>
      </c>
      <c r="T131" s="203" t="s">
        <v>842</v>
      </c>
      <c r="U131" s="203" t="s">
        <v>843</v>
      </c>
    </row>
    <row r="132" customFormat="false" ht="13.2" hidden="false" customHeight="false" outlineLevel="0" collapsed="false">
      <c r="A132" s="47" t="n">
        <v>1</v>
      </c>
      <c r="B132" s="205" t="n">
        <v>36701</v>
      </c>
      <c r="C132" s="204" t="n">
        <v>3</v>
      </c>
      <c r="D132" s="204" t="n">
        <v>2</v>
      </c>
      <c r="E132" s="450" t="n">
        <f aca="false">+'Schedule 1 (L)'!E189/8</f>
        <v>0</v>
      </c>
      <c r="F132" s="450" t="n">
        <f aca="false">+'Schedule 1 (L)'!F189/8</f>
        <v>0</v>
      </c>
      <c r="G132" s="450" t="n">
        <f aca="false">+'Schedule 1 (L)'!G189/8</f>
        <v>0</v>
      </c>
      <c r="H132" s="450" t="n">
        <f aca="false">+'Schedule 1 (L)'!H189/8</f>
        <v>0</v>
      </c>
      <c r="I132" s="450" t="n">
        <f aca="false">+'Schedule 1 (L)'!I189/8</f>
        <v>0</v>
      </c>
      <c r="J132" s="450" t="n">
        <f aca="false">+'Schedule 1 (L)'!J189/8</f>
        <v>0</v>
      </c>
      <c r="K132" s="450" t="n">
        <f aca="false">+'Schedule 1 (L)'!K189/8</f>
        <v>0</v>
      </c>
      <c r="L132" s="450" t="n">
        <f aca="false">+'Schedule 1 (L)'!L189/8</f>
        <v>0</v>
      </c>
      <c r="M132" s="450" t="n">
        <f aca="false">+'Schedule 1 (L)'!M189/8</f>
        <v>0</v>
      </c>
      <c r="N132" s="450" t="n">
        <f aca="false">+'Schedule 1 (L)'!N189/8</f>
        <v>0</v>
      </c>
      <c r="O132" s="450" t="n">
        <f aca="false">+'Schedule 1 (L)'!O189/8</f>
        <v>1.625</v>
      </c>
      <c r="P132" s="450" t="n">
        <f aca="false">+'Schedule 1 (L)'!P189/8</f>
        <v>0</v>
      </c>
      <c r="Q132" s="450" t="n">
        <f aca="false">+'Schedule 1 (L)'!Q189/8</f>
        <v>0</v>
      </c>
      <c r="R132" s="450" t="n">
        <f aca="false">+'Schedule 1 (L)'!R189/8</f>
        <v>14</v>
      </c>
      <c r="S132" s="450" t="n">
        <f aca="false">+'Schedule 1 (L)'!S189/8</f>
        <v>0</v>
      </c>
      <c r="T132" s="92" t="n">
        <f aca="false">+E132+H132+K132+N132+Q132</f>
        <v>0</v>
      </c>
      <c r="U132" s="80" t="n">
        <f aca="false">+F132+G132+I132+J132+L132+M132+O132+P132+R132+S132</f>
        <v>15.625</v>
      </c>
    </row>
    <row r="133" customFormat="false" ht="13.2" hidden="false" customHeight="false" outlineLevel="0" collapsed="false">
      <c r="A133" s="47" t="n">
        <v>2</v>
      </c>
      <c r="B133" s="205" t="n">
        <v>36702</v>
      </c>
      <c r="C133" s="204" t="n">
        <v>3</v>
      </c>
      <c r="D133" s="204" t="n">
        <v>2</v>
      </c>
      <c r="E133" s="450" t="n">
        <f aca="false">+'Schedule 1 (L)'!E190/8</f>
        <v>0</v>
      </c>
      <c r="F133" s="450" t="n">
        <f aca="false">+'Schedule 1 (L)'!F190/8</f>
        <v>0</v>
      </c>
      <c r="G133" s="450" t="n">
        <f aca="false">+'Schedule 1 (L)'!G190/8</f>
        <v>0</v>
      </c>
      <c r="H133" s="450" t="n">
        <f aca="false">+'Schedule 1 (L)'!H190/8</f>
        <v>0</v>
      </c>
      <c r="I133" s="450" t="n">
        <f aca="false">+'Schedule 1 (L)'!I190/8</f>
        <v>0</v>
      </c>
      <c r="J133" s="450" t="n">
        <f aca="false">+'Schedule 1 (L)'!J190/8</f>
        <v>0</v>
      </c>
      <c r="K133" s="450" t="n">
        <f aca="false">+'Schedule 1 (L)'!K190/8</f>
        <v>0</v>
      </c>
      <c r="L133" s="450" t="n">
        <f aca="false">+'Schedule 1 (L)'!L190/8</f>
        <v>0</v>
      </c>
      <c r="M133" s="450" t="n">
        <f aca="false">+'Schedule 1 (L)'!M190/8</f>
        <v>0</v>
      </c>
      <c r="N133" s="450" t="n">
        <f aca="false">+'Schedule 1 (L)'!N190/8</f>
        <v>0</v>
      </c>
      <c r="O133" s="450" t="n">
        <f aca="false">+'Schedule 1 (L)'!O190/8</f>
        <v>0</v>
      </c>
      <c r="P133" s="450" t="n">
        <f aca="false">+'Schedule 1 (L)'!P190/8</f>
        <v>0</v>
      </c>
      <c r="Q133" s="450" t="n">
        <f aca="false">+'Schedule 1 (L)'!Q190/8</f>
        <v>0</v>
      </c>
      <c r="R133" s="450" t="n">
        <f aca="false">+'Schedule 1 (L)'!R190/8</f>
        <v>0</v>
      </c>
      <c r="S133" s="450" t="n">
        <f aca="false">+'Schedule 1 (L)'!S190/8</f>
        <v>4.5</v>
      </c>
      <c r="T133" s="92" t="n">
        <f aca="false">+E133+H133+K133+N133+Q133</f>
        <v>0</v>
      </c>
      <c r="U133" s="80" t="n">
        <f aca="false">+F133+G133+I133+J133+L133+M133+O133+P133+R133+S133</f>
        <v>4.5</v>
      </c>
    </row>
    <row r="134" customFormat="false" ht="13.2" hidden="false" customHeight="false" outlineLevel="0" collapsed="false">
      <c r="A134" s="47" t="n">
        <v>3</v>
      </c>
      <c r="B134" s="205" t="n">
        <v>36703</v>
      </c>
      <c r="C134" s="204" t="n">
        <v>3</v>
      </c>
      <c r="D134" s="204" t="n">
        <v>6</v>
      </c>
      <c r="E134" s="450" t="n">
        <f aca="false">+'Schedule 1 (L)'!E191/8</f>
        <v>0</v>
      </c>
      <c r="F134" s="450" t="n">
        <f aca="false">+'Schedule 1 (L)'!F191/8</f>
        <v>0</v>
      </c>
      <c r="G134" s="450" t="n">
        <f aca="false">+'Schedule 1 (L)'!G191/8</f>
        <v>0</v>
      </c>
      <c r="H134" s="450" t="n">
        <f aca="false">+'Schedule 1 (L)'!H191/8</f>
        <v>0</v>
      </c>
      <c r="I134" s="450" t="n">
        <f aca="false">+'Schedule 1 (L)'!I191/8</f>
        <v>0</v>
      </c>
      <c r="J134" s="450" t="n">
        <f aca="false">+'Schedule 1 (L)'!J191/8</f>
        <v>0</v>
      </c>
      <c r="K134" s="450" t="n">
        <f aca="false">+'Schedule 1 (L)'!K191/8</f>
        <v>0</v>
      </c>
      <c r="L134" s="450" t="n">
        <f aca="false">+'Schedule 1 (L)'!L191/8</f>
        <v>0</v>
      </c>
      <c r="M134" s="450" t="n">
        <f aca="false">+'Schedule 1 (L)'!M191/8</f>
        <v>0</v>
      </c>
      <c r="N134" s="450" t="n">
        <f aca="false">+'Schedule 1 (L)'!N191/8</f>
        <v>2</v>
      </c>
      <c r="O134" s="450" t="n">
        <f aca="false">+'Schedule 1 (L)'!O191/8</f>
        <v>1</v>
      </c>
      <c r="P134" s="450" t="n">
        <f aca="false">+'Schedule 1 (L)'!P191/8</f>
        <v>0</v>
      </c>
      <c r="Q134" s="450" t="n">
        <f aca="false">+'Schedule 1 (L)'!Q191/8</f>
        <v>8.75</v>
      </c>
      <c r="R134" s="450" t="n">
        <f aca="false">+'Schedule 1 (L)'!R191/8</f>
        <v>2</v>
      </c>
      <c r="S134" s="450" t="n">
        <f aca="false">+'Schedule 1 (L)'!S191/8</f>
        <v>0</v>
      </c>
      <c r="T134" s="92" t="n">
        <f aca="false">+E134+H134+K134+N134+Q134</f>
        <v>10.75</v>
      </c>
      <c r="U134" s="80" t="n">
        <f aca="false">+F134+G134+I134+J134+L134+M134+O134+P134+R134+S134</f>
        <v>3</v>
      </c>
    </row>
    <row r="135" customFormat="false" ht="13.2" hidden="false" customHeight="false" outlineLevel="0" collapsed="false">
      <c r="A135" s="47" t="n">
        <v>4</v>
      </c>
      <c r="B135" s="205" t="n">
        <v>36712</v>
      </c>
      <c r="C135" s="204" t="n">
        <v>3</v>
      </c>
      <c r="D135" s="204" t="n">
        <v>8</v>
      </c>
      <c r="E135" s="450" t="n">
        <f aca="false">+'Schedule 1 (L)'!E192/8</f>
        <v>0</v>
      </c>
      <c r="F135" s="450" t="n">
        <f aca="false">+'Schedule 1 (L)'!F192/8</f>
        <v>0</v>
      </c>
      <c r="G135" s="450" t="n">
        <f aca="false">+'Schedule 1 (L)'!G192/8</f>
        <v>0</v>
      </c>
      <c r="H135" s="450" t="n">
        <f aca="false">+'Schedule 1 (L)'!H192/8</f>
        <v>0</v>
      </c>
      <c r="I135" s="450" t="n">
        <f aca="false">+'Schedule 1 (L)'!I192/8</f>
        <v>0</v>
      </c>
      <c r="J135" s="450" t="n">
        <f aca="false">+'Schedule 1 (L)'!J192/8</f>
        <v>0</v>
      </c>
      <c r="K135" s="450" t="n">
        <f aca="false">+'Schedule 1 (L)'!K192/8</f>
        <v>0</v>
      </c>
      <c r="L135" s="450" t="n">
        <f aca="false">+'Schedule 1 (L)'!L192/8</f>
        <v>0</v>
      </c>
      <c r="M135" s="450" t="n">
        <f aca="false">+'Schedule 1 (L)'!M192/8</f>
        <v>0</v>
      </c>
      <c r="N135" s="450" t="n">
        <f aca="false">+'Schedule 1 (L)'!N192/8</f>
        <v>0</v>
      </c>
      <c r="O135" s="450" t="n">
        <f aca="false">+'Schedule 1 (L)'!O192/8</f>
        <v>0</v>
      </c>
      <c r="P135" s="450" t="n">
        <f aca="false">+'Schedule 1 (L)'!P192/8</f>
        <v>0</v>
      </c>
      <c r="Q135" s="450" t="n">
        <f aca="false">+'Schedule 1 (L)'!Q192/8</f>
        <v>3</v>
      </c>
      <c r="R135" s="450" t="n">
        <f aca="false">+'Schedule 1 (L)'!R192/8</f>
        <v>1.5</v>
      </c>
      <c r="S135" s="450" t="n">
        <f aca="false">+'Schedule 1 (L)'!S192/8</f>
        <v>0</v>
      </c>
      <c r="T135" s="92" t="n">
        <f aca="false">+E135+H135+K135+N135+Q135</f>
        <v>3</v>
      </c>
      <c r="U135" s="80" t="n">
        <f aca="false">+F135+G135+I135+J135+L135+M135+O135+P135+R135+S135</f>
        <v>1.5</v>
      </c>
    </row>
    <row r="136" customFormat="false" ht="13.2" hidden="false" customHeight="false" outlineLevel="0" collapsed="false">
      <c r="A136" s="47" t="n">
        <v>5</v>
      </c>
      <c r="B136" s="205" t="n">
        <v>36713</v>
      </c>
      <c r="C136" s="204" t="n">
        <v>3</v>
      </c>
      <c r="D136" s="204" t="n">
        <v>8</v>
      </c>
      <c r="E136" s="450" t="n">
        <f aca="false">+'Schedule 1 (L)'!E193/8</f>
        <v>0</v>
      </c>
      <c r="F136" s="450" t="n">
        <f aca="false">+'Schedule 1 (L)'!F193/8</f>
        <v>0</v>
      </c>
      <c r="G136" s="450" t="n">
        <f aca="false">+'Schedule 1 (L)'!G193/8</f>
        <v>0</v>
      </c>
      <c r="H136" s="450" t="n">
        <f aca="false">+'Schedule 1 (L)'!H193/8</f>
        <v>0</v>
      </c>
      <c r="I136" s="450" t="n">
        <f aca="false">+'Schedule 1 (L)'!I193/8</f>
        <v>0</v>
      </c>
      <c r="J136" s="450" t="n">
        <f aca="false">+'Schedule 1 (L)'!J193/8</f>
        <v>0</v>
      </c>
      <c r="K136" s="450" t="n">
        <f aca="false">+'Schedule 1 (L)'!K193/8</f>
        <v>0</v>
      </c>
      <c r="L136" s="450" t="n">
        <f aca="false">+'Schedule 1 (L)'!L193/8</f>
        <v>0</v>
      </c>
      <c r="M136" s="450" t="n">
        <f aca="false">+'Schedule 1 (L)'!M193/8</f>
        <v>0</v>
      </c>
      <c r="N136" s="450" t="n">
        <f aca="false">+'Schedule 1 (L)'!N193/8</f>
        <v>0</v>
      </c>
      <c r="O136" s="450" t="n">
        <f aca="false">+'Schedule 1 (L)'!O193/8</f>
        <v>0</v>
      </c>
      <c r="P136" s="450" t="n">
        <f aca="false">+'Schedule 1 (L)'!P193/8</f>
        <v>0</v>
      </c>
      <c r="Q136" s="450" t="n">
        <f aca="false">+'Schedule 1 (L)'!Q193/8</f>
        <v>3</v>
      </c>
      <c r="R136" s="450" t="n">
        <f aca="false">+'Schedule 1 (L)'!R193/8</f>
        <v>1.5</v>
      </c>
      <c r="S136" s="450" t="n">
        <f aca="false">+'Schedule 1 (L)'!S193/8</f>
        <v>0</v>
      </c>
      <c r="T136" s="92" t="n">
        <f aca="false">+E136+H136+K136+N136+Q136</f>
        <v>3</v>
      </c>
      <c r="U136" s="80" t="n">
        <f aca="false">+F136+G136+I136+J136+L136+M136+O136+P136+R136+S136</f>
        <v>1.5</v>
      </c>
    </row>
    <row r="137" customFormat="false" ht="13.2" hidden="false" customHeight="false" outlineLevel="0" collapsed="false">
      <c r="A137" s="47" t="n">
        <v>6</v>
      </c>
      <c r="B137" s="205" t="n">
        <v>36714</v>
      </c>
      <c r="C137" s="204" t="n">
        <v>3</v>
      </c>
      <c r="D137" s="204" t="n">
        <v>8</v>
      </c>
      <c r="E137" s="450" t="n">
        <f aca="false">+'Schedule 1 (L)'!E194/8</f>
        <v>0</v>
      </c>
      <c r="F137" s="450" t="n">
        <f aca="false">+'Schedule 1 (L)'!F194/8</f>
        <v>0</v>
      </c>
      <c r="G137" s="450" t="n">
        <f aca="false">+'Schedule 1 (L)'!G194/8</f>
        <v>0</v>
      </c>
      <c r="H137" s="450" t="n">
        <f aca="false">+'Schedule 1 (L)'!H194/8</f>
        <v>0</v>
      </c>
      <c r="I137" s="450" t="n">
        <f aca="false">+'Schedule 1 (L)'!I194/8</f>
        <v>0</v>
      </c>
      <c r="J137" s="450" t="n">
        <f aca="false">+'Schedule 1 (L)'!J194/8</f>
        <v>0</v>
      </c>
      <c r="K137" s="450" t="n">
        <f aca="false">+'Schedule 1 (L)'!K194/8</f>
        <v>0</v>
      </c>
      <c r="L137" s="450" t="n">
        <f aca="false">+'Schedule 1 (L)'!L194/8</f>
        <v>0</v>
      </c>
      <c r="M137" s="450" t="n">
        <f aca="false">+'Schedule 1 (L)'!M194/8</f>
        <v>0</v>
      </c>
      <c r="N137" s="450" t="n">
        <f aca="false">+'Schedule 1 (L)'!N194/8</f>
        <v>0</v>
      </c>
      <c r="O137" s="450" t="n">
        <f aca="false">+'Schedule 1 (L)'!O194/8</f>
        <v>0</v>
      </c>
      <c r="P137" s="450" t="n">
        <f aca="false">+'Schedule 1 (L)'!P194/8</f>
        <v>0</v>
      </c>
      <c r="Q137" s="450" t="n">
        <f aca="false">+'Schedule 1 (L)'!Q194/8</f>
        <v>2</v>
      </c>
      <c r="R137" s="450" t="n">
        <f aca="false">+'Schedule 1 (L)'!R194/8</f>
        <v>1</v>
      </c>
      <c r="S137" s="450" t="n">
        <f aca="false">+'Schedule 1 (L)'!S194/8</f>
        <v>0</v>
      </c>
      <c r="T137" s="92" t="n">
        <f aca="false">+E137+H137+K137+N137+Q137</f>
        <v>2</v>
      </c>
      <c r="U137" s="80" t="n">
        <f aca="false">+F137+G137+I137+J137+L137+M137+O137+P137+R137+S137</f>
        <v>1</v>
      </c>
    </row>
    <row r="138" customFormat="false" ht="13.2" hidden="false" customHeight="false" outlineLevel="0" collapsed="false">
      <c r="A138" s="47" t="n">
        <v>7</v>
      </c>
      <c r="B138" s="205" t="n">
        <v>36719</v>
      </c>
      <c r="C138" s="204" t="n">
        <v>3</v>
      </c>
      <c r="D138" s="74" t="n">
        <v>10</v>
      </c>
      <c r="E138" s="450" t="n">
        <f aca="false">+'Schedule 1 (L)'!E195/8</f>
        <v>0</v>
      </c>
      <c r="F138" s="450" t="n">
        <f aca="false">+'Schedule 1 (L)'!F195/8</f>
        <v>0</v>
      </c>
      <c r="G138" s="450" t="n">
        <f aca="false">+'Schedule 1 (L)'!G195/8</f>
        <v>0</v>
      </c>
      <c r="H138" s="450" t="n">
        <f aca="false">+'Schedule 1 (L)'!H195/8</f>
        <v>0</v>
      </c>
      <c r="I138" s="450" t="n">
        <f aca="false">+'Schedule 1 (L)'!I195/8</f>
        <v>0</v>
      </c>
      <c r="J138" s="450" t="n">
        <f aca="false">+'Schedule 1 (L)'!J195/8</f>
        <v>0</v>
      </c>
      <c r="K138" s="450" t="n">
        <f aca="false">+'Schedule 1 (L)'!K195/8</f>
        <v>0</v>
      </c>
      <c r="L138" s="450" t="n">
        <f aca="false">+'Schedule 1 (L)'!L195/8</f>
        <v>0</v>
      </c>
      <c r="M138" s="450" t="n">
        <f aca="false">+'Schedule 1 (L)'!M195/8</f>
        <v>0</v>
      </c>
      <c r="N138" s="450" t="n">
        <f aca="false">+'Schedule 1 (L)'!N195/8</f>
        <v>0</v>
      </c>
      <c r="O138" s="450" t="n">
        <f aca="false">+'Schedule 1 (L)'!O195/8</f>
        <v>0</v>
      </c>
      <c r="P138" s="450" t="n">
        <f aca="false">+'Schedule 1 (L)'!P195/8</f>
        <v>0</v>
      </c>
      <c r="Q138" s="450" t="n">
        <f aca="false">+'Schedule 1 (L)'!Q195/8</f>
        <v>5</v>
      </c>
      <c r="R138" s="450" t="n">
        <f aca="false">+'Schedule 1 (L)'!R195/8</f>
        <v>2.5</v>
      </c>
      <c r="S138" s="450" t="n">
        <f aca="false">+'Schedule 1 (L)'!S195/8</f>
        <v>0</v>
      </c>
      <c r="T138" s="92" t="n">
        <f aca="false">+E138+H138+K138+N138+Q138</f>
        <v>5</v>
      </c>
      <c r="U138" s="80" t="n">
        <f aca="false">+F138+G138+I138+J138+L138+M138+O138+P138+R138+S138</f>
        <v>2.5</v>
      </c>
    </row>
    <row r="139" customFormat="false" ht="13.2" hidden="false" customHeight="false" outlineLevel="0" collapsed="false">
      <c r="A139" s="47" t="n">
        <v>8</v>
      </c>
      <c r="B139" s="205" t="n">
        <v>36720</v>
      </c>
      <c r="C139" s="204" t="n">
        <v>3</v>
      </c>
      <c r="D139" s="74" t="n">
        <v>10</v>
      </c>
      <c r="E139" s="450" t="n">
        <f aca="false">+'Schedule 1 (L)'!E196/8</f>
        <v>0</v>
      </c>
      <c r="F139" s="450" t="n">
        <f aca="false">+'Schedule 1 (L)'!F196/8</f>
        <v>0</v>
      </c>
      <c r="G139" s="450" t="n">
        <f aca="false">+'Schedule 1 (L)'!G196/8</f>
        <v>0</v>
      </c>
      <c r="H139" s="450" t="n">
        <f aca="false">+'Schedule 1 (L)'!H196/8</f>
        <v>0</v>
      </c>
      <c r="I139" s="450" t="n">
        <f aca="false">+'Schedule 1 (L)'!I196/8</f>
        <v>0</v>
      </c>
      <c r="J139" s="450" t="n">
        <f aca="false">+'Schedule 1 (L)'!J196/8</f>
        <v>0</v>
      </c>
      <c r="K139" s="450" t="n">
        <f aca="false">+'Schedule 1 (L)'!K196/8</f>
        <v>0</v>
      </c>
      <c r="L139" s="450" t="n">
        <f aca="false">+'Schedule 1 (L)'!L196/8</f>
        <v>0</v>
      </c>
      <c r="M139" s="450" t="n">
        <f aca="false">+'Schedule 1 (L)'!M196/8</f>
        <v>0</v>
      </c>
      <c r="N139" s="450" t="n">
        <f aca="false">+'Schedule 1 (L)'!N196/8</f>
        <v>0</v>
      </c>
      <c r="O139" s="450" t="n">
        <f aca="false">+'Schedule 1 (L)'!O196/8</f>
        <v>0</v>
      </c>
      <c r="P139" s="450" t="n">
        <f aca="false">+'Schedule 1 (L)'!P196/8</f>
        <v>0</v>
      </c>
      <c r="Q139" s="450" t="n">
        <f aca="false">+'Schedule 1 (L)'!Q196/8</f>
        <v>4</v>
      </c>
      <c r="R139" s="450" t="n">
        <f aca="false">+'Schedule 1 (L)'!R196/8</f>
        <v>2</v>
      </c>
      <c r="S139" s="450" t="n">
        <f aca="false">+'Schedule 1 (L)'!S196/8</f>
        <v>0</v>
      </c>
      <c r="T139" s="92" t="n">
        <f aca="false">+E139+H139+K139+N139+Q139</f>
        <v>4</v>
      </c>
      <c r="U139" s="80" t="n">
        <f aca="false">+F139+G139+I139+J139+L139+M139+O139+P139+R139+S139</f>
        <v>2</v>
      </c>
    </row>
    <row r="140" customFormat="false" ht="13.2" hidden="false" customHeight="false" outlineLevel="0" collapsed="false">
      <c r="E140" s="450" t="n">
        <f aca="false">+'Schedule 1 (L)'!E197/8</f>
        <v>0</v>
      </c>
      <c r="F140" s="450" t="n">
        <f aca="false">+'Schedule 1 (L)'!F197/8</f>
        <v>0</v>
      </c>
      <c r="G140" s="450" t="n">
        <f aca="false">+'Schedule 1 (L)'!G197/8</f>
        <v>0</v>
      </c>
      <c r="H140" s="450" t="n">
        <f aca="false">+'Schedule 1 (L)'!H197/8</f>
        <v>0</v>
      </c>
      <c r="I140" s="450" t="n">
        <f aca="false">+'Schedule 1 (L)'!I197/8</f>
        <v>0</v>
      </c>
      <c r="J140" s="450" t="n">
        <f aca="false">+'Schedule 1 (L)'!J197/8</f>
        <v>0</v>
      </c>
      <c r="K140" s="450" t="n">
        <f aca="false">+'Schedule 1 (L)'!K197/8</f>
        <v>0</v>
      </c>
      <c r="L140" s="450" t="n">
        <f aca="false">+'Schedule 1 (L)'!L197/8</f>
        <v>0</v>
      </c>
      <c r="M140" s="450" t="n">
        <f aca="false">+'Schedule 1 (L)'!M197/8</f>
        <v>0</v>
      </c>
      <c r="N140" s="450" t="n">
        <f aca="false">+'Schedule 1 (L)'!N197/8</f>
        <v>0</v>
      </c>
      <c r="O140" s="450" t="n">
        <f aca="false">+'Schedule 1 (L)'!O197/8</f>
        <v>0</v>
      </c>
      <c r="P140" s="450" t="n">
        <f aca="false">+'Schedule 1 (L)'!P197/8</f>
        <v>0</v>
      </c>
      <c r="Q140" s="450" t="n">
        <f aca="false">+'Schedule 1 (L)'!Q197/8</f>
        <v>0</v>
      </c>
      <c r="R140" s="450" t="n">
        <f aca="false">+'Schedule 1 (L)'!R197/8</f>
        <v>0</v>
      </c>
      <c r="S140" s="450" t="n">
        <f aca="false">+'Schedule 1 (L)'!S197/8</f>
        <v>0</v>
      </c>
      <c r="T140" s="92"/>
      <c r="U140" s="80"/>
    </row>
    <row r="141" customFormat="false" ht="13.2" hidden="false" customHeight="false" outlineLevel="0" collapsed="false">
      <c r="B141" s="73" t="s">
        <v>156</v>
      </c>
      <c r="C141" s="82"/>
      <c r="D141" s="82"/>
      <c r="E141" s="203" t="n">
        <f aca="false">SUM(E132:E140)</f>
        <v>0</v>
      </c>
      <c r="F141" s="203" t="n">
        <f aca="false">SUM(F132:F140)</f>
        <v>0</v>
      </c>
      <c r="G141" s="203" t="n">
        <f aca="false">SUM(G132:G140)</f>
        <v>0</v>
      </c>
      <c r="H141" s="203" t="n">
        <f aca="false">SUM(H132:H140)</f>
        <v>0</v>
      </c>
      <c r="I141" s="203" t="n">
        <f aca="false">SUM(I132:I140)</f>
        <v>0</v>
      </c>
      <c r="J141" s="203" t="n">
        <f aca="false">SUM(J132:J140)</f>
        <v>0</v>
      </c>
      <c r="K141" s="203" t="n">
        <f aca="false">SUM(K132:K140)</f>
        <v>0</v>
      </c>
      <c r="L141" s="203" t="n">
        <f aca="false">SUM(L132:L140)</f>
        <v>0</v>
      </c>
      <c r="M141" s="203" t="n">
        <f aca="false">SUM(M132:M140)</f>
        <v>0</v>
      </c>
      <c r="N141" s="203" t="n">
        <f aca="false">SUM(N132:N140)</f>
        <v>2</v>
      </c>
      <c r="O141" s="203" t="n">
        <f aca="false">SUM(O132:O140)</f>
        <v>2.625</v>
      </c>
      <c r="P141" s="203" t="n">
        <f aca="false">SUM(P132:P140)</f>
        <v>0</v>
      </c>
      <c r="Q141" s="203" t="n">
        <f aca="false">SUM(Q132:Q140)</f>
        <v>25.75</v>
      </c>
      <c r="R141" s="203" t="n">
        <f aca="false">SUM(R132:R140)</f>
        <v>24.5</v>
      </c>
      <c r="S141" s="203" t="n">
        <f aca="false">SUM(S132:S140)</f>
        <v>4.5</v>
      </c>
      <c r="T141" s="203" t="n">
        <f aca="false">SUM(T132:T140)</f>
        <v>27.75</v>
      </c>
      <c r="U141" s="75" t="n">
        <f aca="false">SUM(U132:U140)</f>
        <v>31.625</v>
      </c>
    </row>
    <row r="142" customFormat="false" ht="13.2" hidden="false" customHeight="false" outlineLevel="0" collapsed="false">
      <c r="B142" s="73" t="s">
        <v>199</v>
      </c>
      <c r="C142" s="246"/>
      <c r="D142" s="246"/>
      <c r="E142" s="75" t="n">
        <v>85</v>
      </c>
      <c r="F142" s="75" t="n">
        <v>95</v>
      </c>
      <c r="G142" s="80" t="n">
        <v>125</v>
      </c>
      <c r="H142" s="75" t="n">
        <v>100</v>
      </c>
      <c r="I142" s="75" t="n">
        <v>150</v>
      </c>
      <c r="J142" s="80" t="n">
        <v>200</v>
      </c>
      <c r="K142" s="80" t="n">
        <v>52</v>
      </c>
      <c r="L142" s="80" t="n">
        <v>65.5</v>
      </c>
      <c r="M142" s="80" t="n">
        <v>81</v>
      </c>
      <c r="N142" s="80" t="n">
        <v>48</v>
      </c>
      <c r="O142" s="80" t="n">
        <v>63</v>
      </c>
      <c r="P142" s="80" t="n">
        <v>77.5</v>
      </c>
      <c r="Q142" s="80" t="n">
        <v>46</v>
      </c>
      <c r="R142" s="80" t="n">
        <v>59</v>
      </c>
      <c r="S142" s="80" t="n">
        <v>72.5</v>
      </c>
      <c r="T142" s="80"/>
      <c r="U142" s="80"/>
    </row>
    <row r="143" customFormat="false" ht="13.2" hidden="false" customHeight="false" outlineLevel="0" collapsed="false">
      <c r="B143" s="73"/>
      <c r="E143" s="247"/>
      <c r="F143" s="247"/>
      <c r="G143" s="247"/>
      <c r="H143" s="247"/>
      <c r="I143" s="247"/>
      <c r="J143" s="247"/>
      <c r="K143" s="247"/>
      <c r="L143" s="247"/>
      <c r="M143" s="247"/>
      <c r="N143" s="247"/>
      <c r="O143" s="247"/>
      <c r="P143" s="247"/>
      <c r="Q143" s="92"/>
      <c r="R143" s="80"/>
    </row>
    <row r="146" customFormat="false" ht="13.2" hidden="false" customHeight="false" outlineLevel="0" collapsed="false">
      <c r="B146" s="201" t="s">
        <v>166</v>
      </c>
      <c r="C146" s="74"/>
      <c r="D146" s="74" t="s">
        <v>148</v>
      </c>
      <c r="E146" s="92"/>
      <c r="F146" s="91" t="s">
        <v>183</v>
      </c>
      <c r="G146" s="92"/>
      <c r="H146" s="91"/>
      <c r="I146" s="91" t="s">
        <v>184</v>
      </c>
      <c r="J146" s="92"/>
      <c r="K146" s="92"/>
      <c r="L146" s="91" t="s">
        <v>185</v>
      </c>
      <c r="M146" s="92"/>
      <c r="N146" s="92"/>
      <c r="O146" s="91" t="s">
        <v>186</v>
      </c>
      <c r="P146" s="92"/>
      <c r="Q146" s="203" t="s">
        <v>845</v>
      </c>
      <c r="R146" s="75" t="s">
        <v>143</v>
      </c>
    </row>
    <row r="147" customFormat="false" ht="13.2" hidden="false" customHeight="false" outlineLevel="0" collapsed="false">
      <c r="B147" s="73" t="s">
        <v>187</v>
      </c>
      <c r="C147" s="204" t="s">
        <v>188</v>
      </c>
      <c r="D147" s="204" t="s">
        <v>189</v>
      </c>
      <c r="E147" s="203" t="s">
        <v>190</v>
      </c>
      <c r="F147" s="203" t="s">
        <v>191</v>
      </c>
      <c r="G147" s="203" t="s">
        <v>192</v>
      </c>
      <c r="H147" s="203" t="s">
        <v>190</v>
      </c>
      <c r="I147" s="203" t="s">
        <v>191</v>
      </c>
      <c r="J147" s="203" t="s">
        <v>192</v>
      </c>
      <c r="K147" s="203" t="s">
        <v>190</v>
      </c>
      <c r="L147" s="203" t="s">
        <v>193</v>
      </c>
      <c r="M147" s="203" t="s">
        <v>192</v>
      </c>
      <c r="N147" s="203" t="s">
        <v>190</v>
      </c>
      <c r="O147" s="203" t="s">
        <v>194</v>
      </c>
      <c r="P147" s="203" t="s">
        <v>195</v>
      </c>
      <c r="Q147" s="203" t="s">
        <v>842</v>
      </c>
      <c r="R147" s="203" t="s">
        <v>843</v>
      </c>
    </row>
    <row r="148" customFormat="false" ht="13.2" hidden="false" customHeight="false" outlineLevel="0" collapsed="false">
      <c r="A148" s="47" t="n">
        <v>1</v>
      </c>
      <c r="B148" s="205" t="n">
        <v>36701</v>
      </c>
      <c r="C148" s="204" t="n">
        <v>3</v>
      </c>
      <c r="D148" s="204" t="n">
        <v>15</v>
      </c>
      <c r="E148" s="450" t="n">
        <f aca="false">+'Schedule 1 (L)'!E205/8</f>
        <v>0</v>
      </c>
      <c r="F148" s="450" t="n">
        <f aca="false">+'Schedule 1 (L)'!F205/8</f>
        <v>0</v>
      </c>
      <c r="G148" s="450" t="n">
        <f aca="false">+'Schedule 1 (L)'!G205/8</f>
        <v>0</v>
      </c>
      <c r="H148" s="450" t="n">
        <f aca="false">+'Schedule 1 (L)'!H205/8</f>
        <v>0</v>
      </c>
      <c r="I148" s="450" t="n">
        <f aca="false">+'Schedule 1 (L)'!I205/8</f>
        <v>0</v>
      </c>
      <c r="J148" s="450" t="n">
        <f aca="false">+'Schedule 1 (L)'!J205/8</f>
        <v>0</v>
      </c>
      <c r="K148" s="450" t="n">
        <f aca="false">+'Schedule 1 (L)'!K205/8</f>
        <v>0</v>
      </c>
      <c r="L148" s="450" t="n">
        <f aca="false">+'Schedule 1 (L)'!L205/8</f>
        <v>1.625</v>
      </c>
      <c r="M148" s="450" t="n">
        <f aca="false">+'Schedule 1 (L)'!M205/8</f>
        <v>0</v>
      </c>
      <c r="N148" s="450" t="n">
        <f aca="false">+'Schedule 1 (L)'!N205/8</f>
        <v>0</v>
      </c>
      <c r="O148" s="450" t="n">
        <f aca="false">+'Schedule 1 (L)'!O205/8</f>
        <v>4.5</v>
      </c>
      <c r="P148" s="450" t="n">
        <f aca="false">+'Schedule 1 (L)'!P205/8</f>
        <v>0</v>
      </c>
      <c r="Q148" s="92" t="n">
        <f aca="false">+E148+H148+K148+N148</f>
        <v>0</v>
      </c>
      <c r="R148" s="80" t="n">
        <f aca="false">+F148+G148+I148+J148+L148+M148+O148+P148</f>
        <v>6.125</v>
      </c>
    </row>
    <row r="149" customFormat="false" ht="13.2" hidden="false" customHeight="false" outlineLevel="0" collapsed="false">
      <c r="A149" s="47" t="n">
        <v>2</v>
      </c>
      <c r="B149" s="205" t="n">
        <v>36711</v>
      </c>
      <c r="C149" s="204" t="n">
        <v>3</v>
      </c>
      <c r="D149" s="204" t="n">
        <v>19</v>
      </c>
      <c r="E149" s="450" t="n">
        <f aca="false">+'Schedule 1 (L)'!E206/8</f>
        <v>0</v>
      </c>
      <c r="F149" s="450" t="n">
        <f aca="false">+'Schedule 1 (L)'!F206/8</f>
        <v>0</v>
      </c>
      <c r="G149" s="450" t="n">
        <f aca="false">+'Schedule 1 (L)'!G206/8</f>
        <v>0</v>
      </c>
      <c r="H149" s="450" t="n">
        <f aca="false">+'Schedule 1 (L)'!H206/8</f>
        <v>0</v>
      </c>
      <c r="I149" s="450" t="n">
        <f aca="false">+'Schedule 1 (L)'!I206/8</f>
        <v>0</v>
      </c>
      <c r="J149" s="450" t="n">
        <f aca="false">+'Schedule 1 (L)'!J206/8</f>
        <v>0</v>
      </c>
      <c r="K149" s="450" t="n">
        <f aca="false">+'Schedule 1 (L)'!K206/8</f>
        <v>0</v>
      </c>
      <c r="L149" s="450" t="n">
        <f aca="false">+'Schedule 1 (L)'!L206/8</f>
        <v>0</v>
      </c>
      <c r="M149" s="450" t="n">
        <f aca="false">+'Schedule 1 (L)'!M206/8</f>
        <v>0</v>
      </c>
      <c r="N149" s="450" t="n">
        <f aca="false">+'Schedule 1 (L)'!N206/8</f>
        <v>0</v>
      </c>
      <c r="O149" s="450" t="n">
        <f aca="false">+'Schedule 1 (L)'!O206/8</f>
        <v>0</v>
      </c>
      <c r="P149" s="450" t="n">
        <f aca="false">+'Schedule 1 (L)'!P206/8</f>
        <v>4.5</v>
      </c>
      <c r="Q149" s="92" t="n">
        <f aca="false">+E149+H149+K149+N149</f>
        <v>0</v>
      </c>
      <c r="R149" s="80" t="n">
        <f aca="false">+F149+G149+I149+J149+L149+M149+O149+P149</f>
        <v>4.5</v>
      </c>
    </row>
    <row r="150" customFormat="false" ht="13.2" hidden="false" customHeight="false" outlineLevel="0" collapsed="false">
      <c r="A150" s="47" t="n">
        <v>3</v>
      </c>
      <c r="B150" s="205" t="n">
        <v>36712</v>
      </c>
      <c r="C150" s="204" t="n">
        <v>3</v>
      </c>
      <c r="D150" s="204" t="n">
        <v>19</v>
      </c>
      <c r="E150" s="450" t="n">
        <f aca="false">+'Schedule 1 (L)'!E207/8</f>
        <v>0</v>
      </c>
      <c r="F150" s="450" t="n">
        <f aca="false">+'Schedule 1 (L)'!F207/8</f>
        <v>0</v>
      </c>
      <c r="G150" s="450" t="n">
        <f aca="false">+'Schedule 1 (L)'!G207/8</f>
        <v>0</v>
      </c>
      <c r="H150" s="450" t="n">
        <f aca="false">+'Schedule 1 (L)'!H207/8</f>
        <v>0</v>
      </c>
      <c r="I150" s="450" t="n">
        <f aca="false">+'Schedule 1 (L)'!I207/8</f>
        <v>0</v>
      </c>
      <c r="J150" s="450" t="n">
        <f aca="false">+'Schedule 1 (L)'!J207/8</f>
        <v>0</v>
      </c>
      <c r="K150" s="450" t="n">
        <f aca="false">+'Schedule 1 (L)'!K207/8</f>
        <v>0</v>
      </c>
      <c r="L150" s="450" t="n">
        <f aca="false">+'Schedule 1 (L)'!L207/8</f>
        <v>0</v>
      </c>
      <c r="M150" s="450" t="n">
        <f aca="false">+'Schedule 1 (L)'!M207/8</f>
        <v>0</v>
      </c>
      <c r="N150" s="450" t="n">
        <f aca="false">+'Schedule 1 (L)'!N207/8</f>
        <v>3</v>
      </c>
      <c r="O150" s="450" t="n">
        <f aca="false">+'Schedule 1 (L)'!O207/8</f>
        <v>1.5</v>
      </c>
      <c r="P150" s="450" t="n">
        <f aca="false">+'Schedule 1 (L)'!P207/8</f>
        <v>0</v>
      </c>
      <c r="Q150" s="92" t="n">
        <f aca="false">+E150+H150+K150+N150</f>
        <v>3</v>
      </c>
      <c r="R150" s="80" t="n">
        <f aca="false">+F150+G150+I150+J150+L150+M150+O150+P150</f>
        <v>1.5</v>
      </c>
    </row>
    <row r="151" customFormat="false" ht="13.2" hidden="false" customHeight="false" outlineLevel="0" collapsed="false">
      <c r="A151" s="47" t="n">
        <v>4</v>
      </c>
      <c r="B151" s="205" t="n">
        <v>36713</v>
      </c>
      <c r="C151" s="204" t="n">
        <v>3</v>
      </c>
      <c r="D151" s="204" t="n">
        <v>19</v>
      </c>
      <c r="E151" s="450" t="n">
        <f aca="false">+'Schedule 1 (L)'!E208/8</f>
        <v>0</v>
      </c>
      <c r="F151" s="450" t="n">
        <f aca="false">+'Schedule 1 (L)'!F208/8</f>
        <v>0</v>
      </c>
      <c r="G151" s="450" t="n">
        <f aca="false">+'Schedule 1 (L)'!G208/8</f>
        <v>0</v>
      </c>
      <c r="H151" s="450" t="n">
        <f aca="false">+'Schedule 1 (L)'!H208/8</f>
        <v>0</v>
      </c>
      <c r="I151" s="450" t="n">
        <f aca="false">+'Schedule 1 (L)'!I208/8</f>
        <v>0</v>
      </c>
      <c r="J151" s="450" t="n">
        <f aca="false">+'Schedule 1 (L)'!J208/8</f>
        <v>0</v>
      </c>
      <c r="K151" s="450" t="n">
        <f aca="false">+'Schedule 1 (L)'!K208/8</f>
        <v>0</v>
      </c>
      <c r="L151" s="450" t="n">
        <f aca="false">+'Schedule 1 (L)'!L208/8</f>
        <v>0</v>
      </c>
      <c r="M151" s="450" t="n">
        <f aca="false">+'Schedule 1 (L)'!M208/8</f>
        <v>0</v>
      </c>
      <c r="N151" s="450" t="n">
        <f aca="false">+'Schedule 1 (L)'!N208/8</f>
        <v>3</v>
      </c>
      <c r="O151" s="450" t="n">
        <f aca="false">+'Schedule 1 (L)'!O208/8</f>
        <v>1.5</v>
      </c>
      <c r="P151" s="450" t="n">
        <f aca="false">+'Schedule 1 (L)'!P208/8</f>
        <v>0</v>
      </c>
      <c r="Q151" s="92" t="n">
        <f aca="false">+E151+H151+K151+N151</f>
        <v>3</v>
      </c>
      <c r="R151" s="80" t="n">
        <f aca="false">+F151+G151+I151+J151+L151+M151+O151+P151</f>
        <v>1.5</v>
      </c>
    </row>
    <row r="152" customFormat="false" ht="13.2" hidden="false" customHeight="false" outlineLevel="0" collapsed="false">
      <c r="A152" s="47" t="n">
        <v>5</v>
      </c>
      <c r="B152" s="205" t="n">
        <v>36718</v>
      </c>
      <c r="C152" s="204" t="n">
        <v>3</v>
      </c>
      <c r="D152" s="74" t="n">
        <v>21</v>
      </c>
      <c r="E152" s="450" t="n">
        <f aca="false">+'Schedule 1 (L)'!E209/8</f>
        <v>0</v>
      </c>
      <c r="F152" s="450" t="n">
        <f aca="false">+'Schedule 1 (L)'!F209/8</f>
        <v>0</v>
      </c>
      <c r="G152" s="450" t="n">
        <f aca="false">+'Schedule 1 (L)'!G209/8</f>
        <v>0</v>
      </c>
      <c r="H152" s="450" t="n">
        <f aca="false">+'Schedule 1 (L)'!H209/8</f>
        <v>0</v>
      </c>
      <c r="I152" s="450" t="n">
        <f aca="false">+'Schedule 1 (L)'!I209/8</f>
        <v>0</v>
      </c>
      <c r="J152" s="450" t="n">
        <f aca="false">+'Schedule 1 (L)'!J209/8</f>
        <v>0</v>
      </c>
      <c r="K152" s="450" t="n">
        <f aca="false">+'Schedule 1 (L)'!K209/8</f>
        <v>0</v>
      </c>
      <c r="L152" s="450" t="n">
        <f aca="false">+'Schedule 1 (L)'!L209/8</f>
        <v>0</v>
      </c>
      <c r="M152" s="450" t="n">
        <f aca="false">+'Schedule 1 (L)'!M209/8</f>
        <v>0</v>
      </c>
      <c r="N152" s="450" t="n">
        <f aca="false">+'Schedule 1 (L)'!N209/8</f>
        <v>4</v>
      </c>
      <c r="O152" s="450" t="n">
        <f aca="false">+'Schedule 1 (L)'!O209/8</f>
        <v>2</v>
      </c>
      <c r="P152" s="450" t="n">
        <f aca="false">+'Schedule 1 (L)'!P209/8</f>
        <v>0</v>
      </c>
      <c r="Q152" s="92" t="n">
        <f aca="false">+E152+H152+K152+N152</f>
        <v>4</v>
      </c>
      <c r="R152" s="80" t="n">
        <f aca="false">+F152+G152+I152+J152+L152+M152+O152+P152</f>
        <v>2</v>
      </c>
    </row>
    <row r="153" customFormat="false" ht="13.2" hidden="false" customHeight="false" outlineLevel="0" collapsed="false">
      <c r="A153" s="47" t="n">
        <v>6</v>
      </c>
      <c r="B153" s="205" t="n">
        <v>36719</v>
      </c>
      <c r="C153" s="204" t="n">
        <v>3</v>
      </c>
      <c r="D153" s="74" t="n">
        <v>21</v>
      </c>
      <c r="E153" s="450" t="n">
        <f aca="false">+'Schedule 1 (L)'!E210/8</f>
        <v>0</v>
      </c>
      <c r="F153" s="450" t="n">
        <f aca="false">+'Schedule 1 (L)'!F210/8</f>
        <v>0</v>
      </c>
      <c r="G153" s="450" t="n">
        <f aca="false">+'Schedule 1 (L)'!G210/8</f>
        <v>0</v>
      </c>
      <c r="H153" s="450" t="n">
        <f aca="false">+'Schedule 1 (L)'!H210/8</f>
        <v>0</v>
      </c>
      <c r="I153" s="450" t="n">
        <f aca="false">+'Schedule 1 (L)'!I210/8</f>
        <v>0</v>
      </c>
      <c r="J153" s="450" t="n">
        <f aca="false">+'Schedule 1 (L)'!J210/8</f>
        <v>0</v>
      </c>
      <c r="K153" s="450" t="n">
        <f aca="false">+'Schedule 1 (L)'!K210/8</f>
        <v>0</v>
      </c>
      <c r="L153" s="450" t="n">
        <f aca="false">+'Schedule 1 (L)'!L210/8</f>
        <v>0</v>
      </c>
      <c r="M153" s="450" t="n">
        <f aca="false">+'Schedule 1 (L)'!M210/8</f>
        <v>0</v>
      </c>
      <c r="N153" s="450" t="n">
        <f aca="false">+'Schedule 1 (L)'!N210/8</f>
        <v>3</v>
      </c>
      <c r="O153" s="450" t="n">
        <f aca="false">+'Schedule 1 (L)'!O210/8</f>
        <v>1.5</v>
      </c>
      <c r="P153" s="450" t="n">
        <f aca="false">+'Schedule 1 (L)'!P210/8</f>
        <v>0</v>
      </c>
      <c r="Q153" s="92" t="n">
        <f aca="false">+E153+H153+K153+N153</f>
        <v>3</v>
      </c>
      <c r="R153" s="80" t="n">
        <f aca="false">+F153+G153+I153+J153+L153+M153+O153+P153</f>
        <v>1.5</v>
      </c>
    </row>
    <row r="154" customFormat="false" ht="13.2" hidden="false" customHeight="false" outlineLevel="0" collapsed="false">
      <c r="E154" s="450" t="n">
        <f aca="false">+'Schedule 1 (L)'!E211/8</f>
        <v>0</v>
      </c>
      <c r="F154" s="450" t="n">
        <f aca="false">+'Schedule 1 (L)'!F211/8</f>
        <v>0</v>
      </c>
      <c r="G154" s="450" t="n">
        <f aca="false">+'Schedule 1 (L)'!G211/8</f>
        <v>0</v>
      </c>
      <c r="H154" s="450" t="n">
        <f aca="false">+'Schedule 1 (L)'!H211/8</f>
        <v>0</v>
      </c>
      <c r="I154" s="450" t="n">
        <f aca="false">+'Schedule 1 (L)'!I211/8</f>
        <v>0</v>
      </c>
      <c r="J154" s="450" t="n">
        <f aca="false">+'Schedule 1 (L)'!J211/8</f>
        <v>0</v>
      </c>
      <c r="K154" s="450" t="n">
        <f aca="false">+'Schedule 1 (L)'!K211/8</f>
        <v>0</v>
      </c>
      <c r="L154" s="450" t="n">
        <f aca="false">+'Schedule 1 (L)'!L211/8</f>
        <v>0</v>
      </c>
      <c r="M154" s="450" t="n">
        <f aca="false">+'Schedule 1 (L)'!M211/8</f>
        <v>0</v>
      </c>
      <c r="N154" s="450" t="n">
        <f aca="false">+'Schedule 1 (L)'!N211/8</f>
        <v>0</v>
      </c>
      <c r="O154" s="450" t="n">
        <f aca="false">+'Schedule 1 (L)'!O211/8</f>
        <v>0</v>
      </c>
      <c r="P154" s="450" t="n">
        <f aca="false">+'Schedule 1 (L)'!P211/8</f>
        <v>0</v>
      </c>
      <c r="Q154" s="92"/>
      <c r="R154" s="80"/>
    </row>
    <row r="155" customFormat="false" ht="13.2" hidden="false" customHeight="false" outlineLevel="0" collapsed="false">
      <c r="B155" s="73" t="s">
        <v>156</v>
      </c>
      <c r="C155" s="82"/>
      <c r="D155" s="82"/>
      <c r="E155" s="203" t="n">
        <f aca="false">SUM(E148:E154)</f>
        <v>0</v>
      </c>
      <c r="F155" s="203" t="n">
        <f aca="false">SUM(F148:F154)</f>
        <v>0</v>
      </c>
      <c r="G155" s="203" t="n">
        <f aca="false">SUM(G148:G154)</f>
        <v>0</v>
      </c>
      <c r="H155" s="203" t="n">
        <f aca="false">SUM(H148:H154)</f>
        <v>0</v>
      </c>
      <c r="I155" s="203" t="n">
        <f aca="false">SUM(I148:I154)</f>
        <v>0</v>
      </c>
      <c r="J155" s="203" t="n">
        <f aca="false">SUM(J148:J154)</f>
        <v>0</v>
      </c>
      <c r="K155" s="203" t="n">
        <f aca="false">SUM(K148:K154)</f>
        <v>0</v>
      </c>
      <c r="L155" s="203" t="n">
        <f aca="false">SUM(L148:L154)</f>
        <v>1.625</v>
      </c>
      <c r="M155" s="203" t="n">
        <f aca="false">SUM(M148:M154)</f>
        <v>0</v>
      </c>
      <c r="N155" s="203" t="n">
        <f aca="false">SUM(N148:N154)</f>
        <v>13</v>
      </c>
      <c r="O155" s="203" t="n">
        <f aca="false">SUM(O148:O154)</f>
        <v>11</v>
      </c>
      <c r="P155" s="203" t="n">
        <f aca="false">SUM(P148:P154)</f>
        <v>4.5</v>
      </c>
      <c r="Q155" s="203" t="n">
        <f aca="false">SUM(Q148:Q154)</f>
        <v>13</v>
      </c>
      <c r="R155" s="75" t="n">
        <f aca="false">SUM(R148:R154)</f>
        <v>17.125</v>
      </c>
    </row>
    <row r="156" customFormat="false" ht="13.2" hidden="false" customHeight="false" outlineLevel="0" collapsed="false">
      <c r="A156" s="47" t="n">
        <f aca="false">+A153+A139+A122+A95+A50</f>
        <v>95</v>
      </c>
      <c r="B156" s="73" t="s">
        <v>199</v>
      </c>
      <c r="C156" s="246"/>
      <c r="D156" s="246"/>
      <c r="E156" s="75" t="n">
        <v>100</v>
      </c>
      <c r="F156" s="75" t="n">
        <v>150</v>
      </c>
      <c r="G156" s="80" t="n">
        <v>200</v>
      </c>
      <c r="H156" s="80" t="n">
        <v>52</v>
      </c>
      <c r="I156" s="80" t="n">
        <v>65.5</v>
      </c>
      <c r="J156" s="80" t="n">
        <v>81</v>
      </c>
      <c r="K156" s="80" t="n">
        <v>48</v>
      </c>
      <c r="L156" s="80" t="n">
        <v>63</v>
      </c>
      <c r="M156" s="80" t="n">
        <v>77.5</v>
      </c>
      <c r="N156" s="80" t="n">
        <v>46</v>
      </c>
      <c r="O156" s="80" t="n">
        <v>59</v>
      </c>
      <c r="P156" s="80" t="n">
        <v>72.5</v>
      </c>
      <c r="Q156" s="80"/>
      <c r="R156" s="80"/>
    </row>
    <row r="157" customFormat="false" ht="13.2" hidden="false" customHeight="false" outlineLevel="0" collapsed="false">
      <c r="B157" s="73"/>
      <c r="E157" s="247"/>
      <c r="F157" s="247"/>
      <c r="G157" s="247"/>
      <c r="H157" s="247"/>
      <c r="I157" s="247"/>
      <c r="J157" s="247"/>
      <c r="K157" s="247"/>
      <c r="L157" s="247"/>
      <c r="M157" s="247"/>
      <c r="N157" s="247"/>
      <c r="O157" s="247"/>
      <c r="P157" s="247"/>
      <c r="Q157" s="92"/>
      <c r="R157" s="80"/>
    </row>
    <row r="159" customFormat="false" ht="13.2" hidden="false" customHeight="false" outlineLevel="0" collapsed="false">
      <c r="B159" s="201" t="s">
        <v>165</v>
      </c>
      <c r="C159" s="74"/>
      <c r="D159" s="283" t="s">
        <v>852</v>
      </c>
      <c r="E159" s="92"/>
      <c r="F159" s="202" t="s">
        <v>182</v>
      </c>
      <c r="G159" s="92"/>
      <c r="H159" s="92"/>
      <c r="I159" s="202" t="s">
        <v>183</v>
      </c>
      <c r="J159" s="92"/>
      <c r="K159" s="91"/>
      <c r="L159" s="202" t="s">
        <v>184</v>
      </c>
      <c r="M159" s="92"/>
      <c r="N159" s="92"/>
      <c r="O159" s="202" t="s">
        <v>185</v>
      </c>
      <c r="P159" s="92"/>
      <c r="Q159" s="92"/>
      <c r="R159" s="202" t="s">
        <v>186</v>
      </c>
      <c r="S159" s="92"/>
      <c r="T159" s="203" t="s">
        <v>841</v>
      </c>
      <c r="U159" s="75" t="s">
        <v>143</v>
      </c>
    </row>
    <row r="160" customFormat="false" ht="13.2" hidden="false" customHeight="false" outlineLevel="0" collapsed="false">
      <c r="B160" s="73" t="s">
        <v>187</v>
      </c>
      <c r="C160" s="204"/>
      <c r="D160" s="204"/>
      <c r="E160" s="203" t="s">
        <v>190</v>
      </c>
      <c r="F160" s="203" t="s">
        <v>191</v>
      </c>
      <c r="G160" s="203" t="s">
        <v>192</v>
      </c>
      <c r="H160" s="203" t="s">
        <v>190</v>
      </c>
      <c r="I160" s="203" t="s">
        <v>191</v>
      </c>
      <c r="J160" s="203" t="s">
        <v>192</v>
      </c>
      <c r="K160" s="203" t="s">
        <v>190</v>
      </c>
      <c r="L160" s="203" t="s">
        <v>191</v>
      </c>
      <c r="M160" s="203" t="s">
        <v>192</v>
      </c>
      <c r="N160" s="203" t="s">
        <v>190</v>
      </c>
      <c r="O160" s="203" t="s">
        <v>193</v>
      </c>
      <c r="P160" s="203" t="s">
        <v>192</v>
      </c>
      <c r="Q160" s="203" t="s">
        <v>190</v>
      </c>
      <c r="R160" s="203" t="s">
        <v>194</v>
      </c>
      <c r="S160" s="203" t="s">
        <v>195</v>
      </c>
      <c r="T160" s="203" t="s">
        <v>842</v>
      </c>
      <c r="U160" s="203" t="s">
        <v>843</v>
      </c>
    </row>
    <row r="161" customFormat="false" ht="13.2" hidden="false" customHeight="false" outlineLevel="0" collapsed="false">
      <c r="B161" s="205" t="n">
        <v>36701</v>
      </c>
      <c r="C161" s="204"/>
      <c r="D161" s="204"/>
      <c r="E161" s="450" t="n">
        <f aca="false">+E132+E105+E14</f>
        <v>0</v>
      </c>
      <c r="F161" s="450" t="n">
        <f aca="false">+F132+F105+F14</f>
        <v>1.625</v>
      </c>
      <c r="G161" s="450" t="n">
        <f aca="false">+G132+G105+G14</f>
        <v>0</v>
      </c>
      <c r="H161" s="450" t="n">
        <f aca="false">+H132+H105+H14</f>
        <v>0</v>
      </c>
      <c r="I161" s="450" t="n">
        <f aca="false">+I132+I105+I14</f>
        <v>0</v>
      </c>
      <c r="J161" s="450" t="n">
        <f aca="false">+J132+J105+J14</f>
        <v>0</v>
      </c>
      <c r="K161" s="450" t="n">
        <f aca="false">+K132+K105+K14</f>
        <v>0</v>
      </c>
      <c r="L161" s="450" t="n">
        <f aca="false">+L132+L105+L14</f>
        <v>1.625</v>
      </c>
      <c r="M161" s="450" t="n">
        <f aca="false">+M132+M105+M14</f>
        <v>0</v>
      </c>
      <c r="N161" s="450" t="n">
        <f aca="false">+N132+N105+N14</f>
        <v>0</v>
      </c>
      <c r="O161" s="450" t="n">
        <f aca="false">+O132+O105+O14</f>
        <v>3.25</v>
      </c>
      <c r="P161" s="450" t="n">
        <f aca="false">+P132+P105+P14</f>
        <v>0</v>
      </c>
      <c r="Q161" s="450" t="n">
        <f aca="false">+Q132+Q105+Q14</f>
        <v>0</v>
      </c>
      <c r="R161" s="450" t="n">
        <f aca="false">+R132+R105+R14</f>
        <v>20</v>
      </c>
      <c r="S161" s="450" t="n">
        <f aca="false">+S132+S105+S14</f>
        <v>0</v>
      </c>
      <c r="T161" s="92" t="n">
        <f aca="false">+E161+H161+K161+N161+Q161</f>
        <v>0</v>
      </c>
      <c r="U161" s="80" t="n">
        <f aca="false">+F161+G161+I161+J161+L161+M161+O161+P161+R161+S161</f>
        <v>26.5</v>
      </c>
    </row>
    <row r="162" customFormat="false" ht="13.2" hidden="false" customHeight="false" outlineLevel="0" collapsed="false">
      <c r="B162" s="205" t="n">
        <v>36702</v>
      </c>
      <c r="C162" s="204"/>
      <c r="D162" s="204"/>
      <c r="E162" s="450" t="n">
        <f aca="false">+E133+E15</f>
        <v>0</v>
      </c>
      <c r="F162" s="450" t="n">
        <f aca="false">+F133+F15</f>
        <v>0</v>
      </c>
      <c r="G162" s="450" t="n">
        <f aca="false">+G133+G15</f>
        <v>1.625</v>
      </c>
      <c r="H162" s="450" t="n">
        <f aca="false">+H133+H15</f>
        <v>0</v>
      </c>
      <c r="I162" s="450" t="n">
        <f aca="false">+I133+I15</f>
        <v>0</v>
      </c>
      <c r="J162" s="450" t="n">
        <f aca="false">+J133+J15</f>
        <v>0</v>
      </c>
      <c r="K162" s="450" t="n">
        <f aca="false">+K133+K15</f>
        <v>0</v>
      </c>
      <c r="L162" s="450" t="n">
        <f aca="false">+L133+L15</f>
        <v>0</v>
      </c>
      <c r="M162" s="450" t="n">
        <f aca="false">+M133+M15</f>
        <v>1.625</v>
      </c>
      <c r="N162" s="450" t="n">
        <f aca="false">+N133+N15</f>
        <v>0</v>
      </c>
      <c r="O162" s="450" t="n">
        <f aca="false">+O133+O15</f>
        <v>0</v>
      </c>
      <c r="P162" s="450" t="n">
        <f aca="false">+P133+P15</f>
        <v>3.25</v>
      </c>
      <c r="Q162" s="450" t="n">
        <f aca="false">+Q133+Q15</f>
        <v>0</v>
      </c>
      <c r="R162" s="450" t="n">
        <f aca="false">+R133+R15</f>
        <v>0</v>
      </c>
      <c r="S162" s="450" t="n">
        <f aca="false">+S133+S15</f>
        <v>19.5</v>
      </c>
      <c r="T162" s="92" t="n">
        <f aca="false">+E162+H162+K162+N162+Q162</f>
        <v>0</v>
      </c>
      <c r="U162" s="80" t="n">
        <f aca="false">+F162+G162+I162+J162+L162+M162+O162+P162+R162+S162</f>
        <v>26</v>
      </c>
    </row>
    <row r="163" customFormat="false" ht="13.2" hidden="false" customHeight="false" outlineLevel="0" collapsed="false">
      <c r="B163" s="205" t="n">
        <v>36703</v>
      </c>
      <c r="C163" s="204"/>
      <c r="D163" s="204"/>
      <c r="E163" s="450" t="n">
        <f aca="false">+E134+E16</f>
        <v>0</v>
      </c>
      <c r="F163" s="450" t="n">
        <f aca="false">+F134+F107+F16</f>
        <v>0</v>
      </c>
      <c r="G163" s="450" t="n">
        <f aca="false">+G134+G107+G16</f>
        <v>0</v>
      </c>
      <c r="H163" s="450" t="n">
        <f aca="false">+H134+H107+H16</f>
        <v>0</v>
      </c>
      <c r="I163" s="450" t="n">
        <f aca="false">+I134+I107+I16</f>
        <v>0</v>
      </c>
      <c r="J163" s="450" t="n">
        <f aca="false">+J134+J107+J16</f>
        <v>0</v>
      </c>
      <c r="K163" s="450" t="n">
        <f aca="false">+K134+K107+K16</f>
        <v>1</v>
      </c>
      <c r="L163" s="450" t="n">
        <f aca="false">+L134+L107+L16</f>
        <v>0.625</v>
      </c>
      <c r="M163" s="450" t="n">
        <f aca="false">+M134+M107+M16</f>
        <v>0</v>
      </c>
      <c r="N163" s="450" t="n">
        <f aca="false">+N134+N107+N16</f>
        <v>2.5</v>
      </c>
      <c r="O163" s="450" t="n">
        <f aca="false">+O134+O107+O16</f>
        <v>1</v>
      </c>
      <c r="P163" s="450" t="n">
        <f aca="false">+P134+P107+P16</f>
        <v>0</v>
      </c>
      <c r="Q163" s="450" t="n">
        <f aca="false">+Q134+Q107+Q16</f>
        <v>13.5</v>
      </c>
      <c r="R163" s="450" t="n">
        <f aca="false">+R134+R107+R16</f>
        <v>5.5</v>
      </c>
      <c r="S163" s="450" t="n">
        <f aca="false">+S134+S107+S16</f>
        <v>0</v>
      </c>
      <c r="T163" s="92" t="n">
        <f aca="false">+E163+H163+K163+N163+Q163</f>
        <v>17</v>
      </c>
      <c r="U163" s="80" t="n">
        <f aca="false">+F163+G163+I163+J163+L163+M163+O163+P163+R163+S163</f>
        <v>7.125</v>
      </c>
    </row>
    <row r="164" customFormat="false" ht="13.2" hidden="false" customHeight="false" outlineLevel="0" collapsed="false">
      <c r="B164" s="205" t="n">
        <v>36704</v>
      </c>
      <c r="C164" s="204"/>
      <c r="D164" s="204"/>
      <c r="E164" s="450" t="n">
        <f aca="false">+E106+E17</f>
        <v>0</v>
      </c>
      <c r="F164" s="450" t="n">
        <f aca="false">+F106+F17</f>
        <v>0</v>
      </c>
      <c r="G164" s="450" t="n">
        <f aca="false">+G106+G17</f>
        <v>0</v>
      </c>
      <c r="H164" s="450" t="n">
        <f aca="false">+H106+H17</f>
        <v>0</v>
      </c>
      <c r="I164" s="450" t="n">
        <f aca="false">+I106+I17</f>
        <v>0</v>
      </c>
      <c r="J164" s="450" t="n">
        <f aca="false">+J106+J17</f>
        <v>0</v>
      </c>
      <c r="K164" s="450" t="n">
        <f aca="false">+K106+K17</f>
        <v>1</v>
      </c>
      <c r="L164" s="450" t="n">
        <f aca="false">+L106+L17</f>
        <v>0.625</v>
      </c>
      <c r="M164" s="450" t="n">
        <f aca="false">+M106+M17</f>
        <v>0</v>
      </c>
      <c r="N164" s="450" t="n">
        <f aca="false">+N106+N17</f>
        <v>2</v>
      </c>
      <c r="O164" s="450" t="n">
        <f aca="false">+O106+O17</f>
        <v>1.25</v>
      </c>
      <c r="P164" s="450" t="n">
        <f aca="false">+P106+P17</f>
        <v>0</v>
      </c>
      <c r="Q164" s="450" t="n">
        <f aca="false">+Q106+Q17</f>
        <v>12</v>
      </c>
      <c r="R164" s="450" t="n">
        <f aca="false">+R106+R17</f>
        <v>6</v>
      </c>
      <c r="S164" s="450" t="n">
        <f aca="false">+S106+S17</f>
        <v>0</v>
      </c>
      <c r="T164" s="92"/>
      <c r="U164" s="80"/>
    </row>
    <row r="165" customFormat="false" ht="13.2" hidden="false" customHeight="false" outlineLevel="0" collapsed="false">
      <c r="B165" s="205" t="n">
        <v>36705</v>
      </c>
      <c r="C165" s="204"/>
      <c r="D165" s="204"/>
      <c r="E165" s="450" t="n">
        <f aca="false">+E107+E18</f>
        <v>0</v>
      </c>
      <c r="F165" s="450" t="n">
        <f aca="false">+F107+F18</f>
        <v>0</v>
      </c>
      <c r="G165" s="450" t="n">
        <f aca="false">+G107+G18</f>
        <v>0</v>
      </c>
      <c r="H165" s="450" t="n">
        <f aca="false">+H107+H18</f>
        <v>0</v>
      </c>
      <c r="I165" s="450" t="n">
        <f aca="false">+I107+I18</f>
        <v>0</v>
      </c>
      <c r="J165" s="450" t="n">
        <f aca="false">+J107+J18</f>
        <v>0</v>
      </c>
      <c r="K165" s="450" t="n">
        <f aca="false">+K107+K18</f>
        <v>1</v>
      </c>
      <c r="L165" s="450" t="n">
        <f aca="false">+L107+L18</f>
        <v>0.625</v>
      </c>
      <c r="M165" s="450" t="n">
        <f aca="false">+M107+M18</f>
        <v>0</v>
      </c>
      <c r="N165" s="450" t="n">
        <f aca="false">+N107+N18</f>
        <v>2</v>
      </c>
      <c r="O165" s="450" t="n">
        <f aca="false">+O107+O18</f>
        <v>1.25</v>
      </c>
      <c r="P165" s="450" t="n">
        <f aca="false">+P107+P18</f>
        <v>0</v>
      </c>
      <c r="Q165" s="450" t="n">
        <f aca="false">+Q107+Q18</f>
        <v>12</v>
      </c>
      <c r="R165" s="450" t="n">
        <f aca="false">+R107+R18</f>
        <v>6</v>
      </c>
      <c r="S165" s="450" t="n">
        <f aca="false">+S107+S18</f>
        <v>0</v>
      </c>
      <c r="T165" s="92"/>
      <c r="U165" s="80"/>
    </row>
    <row r="166" customFormat="false" ht="13.2" hidden="false" customHeight="false" outlineLevel="0" collapsed="false">
      <c r="B166" s="205" t="n">
        <v>36712</v>
      </c>
      <c r="C166" s="204"/>
      <c r="D166" s="204"/>
      <c r="E166" s="450" t="n">
        <f aca="false">+E135+E25</f>
        <v>1</v>
      </c>
      <c r="F166" s="450" t="n">
        <f aca="false">+F135+F25</f>
        <v>0.625</v>
      </c>
      <c r="G166" s="450" t="n">
        <f aca="false">+G135+G25</f>
        <v>0</v>
      </c>
      <c r="H166" s="450" t="n">
        <f aca="false">+H135+H25</f>
        <v>0</v>
      </c>
      <c r="I166" s="450" t="n">
        <f aca="false">+I135+I25</f>
        <v>0</v>
      </c>
      <c r="J166" s="450" t="n">
        <f aca="false">+J135+J25</f>
        <v>0</v>
      </c>
      <c r="K166" s="450" t="n">
        <f aca="false">+K135+K25</f>
        <v>1</v>
      </c>
      <c r="L166" s="450" t="n">
        <f aca="false">+L135+L25</f>
        <v>0.625</v>
      </c>
      <c r="M166" s="450" t="n">
        <f aca="false">+M135+M25</f>
        <v>0</v>
      </c>
      <c r="N166" s="450" t="n">
        <f aca="false">+N135+N25</f>
        <v>2</v>
      </c>
      <c r="O166" s="450" t="n">
        <f aca="false">+O135+O25</f>
        <v>1.25</v>
      </c>
      <c r="P166" s="450" t="n">
        <f aca="false">+P135+P25</f>
        <v>0</v>
      </c>
      <c r="Q166" s="450" t="n">
        <f aca="false">+Q135+Q25</f>
        <v>13</v>
      </c>
      <c r="R166" s="450" t="n">
        <f aca="false">+R135+R25</f>
        <v>6.5</v>
      </c>
      <c r="S166" s="450" t="n">
        <f aca="false">+S135+S25</f>
        <v>0</v>
      </c>
      <c r="T166" s="92" t="n">
        <f aca="false">+E166+H166+K166+N166+Q166</f>
        <v>17</v>
      </c>
      <c r="U166" s="80" t="n">
        <f aca="false">+F166+G166+I166+J166+L166+M166+O166+P166+R166+S166</f>
        <v>9</v>
      </c>
    </row>
    <row r="167" customFormat="false" ht="13.2" hidden="false" customHeight="false" outlineLevel="0" collapsed="false">
      <c r="B167" s="205" t="n">
        <v>36713</v>
      </c>
      <c r="C167" s="204"/>
      <c r="D167" s="204"/>
      <c r="E167" s="450" t="n">
        <f aca="false">+E136+E26</f>
        <v>1</v>
      </c>
      <c r="F167" s="450" t="n">
        <f aca="false">+F136+F26</f>
        <v>0.625</v>
      </c>
      <c r="G167" s="450" t="n">
        <f aca="false">+G136+G26</f>
        <v>0</v>
      </c>
      <c r="H167" s="450" t="n">
        <f aca="false">+H136+H26</f>
        <v>0</v>
      </c>
      <c r="I167" s="450" t="n">
        <f aca="false">+I136+I26</f>
        <v>0</v>
      </c>
      <c r="J167" s="450" t="n">
        <f aca="false">+J136+J26</f>
        <v>0</v>
      </c>
      <c r="K167" s="450" t="n">
        <f aca="false">+K136+K26</f>
        <v>1</v>
      </c>
      <c r="L167" s="450" t="n">
        <f aca="false">+L136+L26</f>
        <v>0.625</v>
      </c>
      <c r="M167" s="450" t="n">
        <f aca="false">+M136+M26</f>
        <v>0</v>
      </c>
      <c r="N167" s="450" t="n">
        <f aca="false">+N136+N26</f>
        <v>2</v>
      </c>
      <c r="O167" s="450" t="n">
        <f aca="false">+O136+O26</f>
        <v>1.25</v>
      </c>
      <c r="P167" s="450" t="n">
        <f aca="false">+P136+P26</f>
        <v>0</v>
      </c>
      <c r="Q167" s="450" t="n">
        <f aca="false">+Q136+Q26</f>
        <v>13</v>
      </c>
      <c r="R167" s="450" t="n">
        <f aca="false">+R136+R26</f>
        <v>6.5</v>
      </c>
      <c r="S167" s="450" t="n">
        <f aca="false">+S136+S26</f>
        <v>0</v>
      </c>
      <c r="T167" s="92" t="n">
        <f aca="false">+E167+H167+K167+N167+Q167</f>
        <v>17</v>
      </c>
      <c r="U167" s="80" t="n">
        <f aca="false">+F167+G167+I167+J167+L167+M167+O167+P167+R167+S167</f>
        <v>9</v>
      </c>
    </row>
    <row r="168" customFormat="false" ht="13.2" hidden="false" customHeight="false" outlineLevel="0" collapsed="false">
      <c r="B168" s="205" t="n">
        <v>36714</v>
      </c>
      <c r="C168" s="204"/>
      <c r="D168" s="204"/>
      <c r="E168" s="450" t="n">
        <f aca="false">+E137+E27</f>
        <v>1</v>
      </c>
      <c r="F168" s="450" t="n">
        <f aca="false">+F137+F27</f>
        <v>0.625</v>
      </c>
      <c r="G168" s="450" t="n">
        <f aca="false">+G137+G27</f>
        <v>0</v>
      </c>
      <c r="H168" s="450" t="n">
        <f aca="false">+H137+H27</f>
        <v>0</v>
      </c>
      <c r="I168" s="450" t="n">
        <f aca="false">+I137+I27</f>
        <v>0</v>
      </c>
      <c r="J168" s="450" t="n">
        <f aca="false">+J137+J27</f>
        <v>0</v>
      </c>
      <c r="K168" s="450" t="n">
        <f aca="false">+K137+K27</f>
        <v>1</v>
      </c>
      <c r="L168" s="450" t="n">
        <f aca="false">+L137+L27</f>
        <v>0.625</v>
      </c>
      <c r="M168" s="450" t="n">
        <f aca="false">+M137+M27</f>
        <v>0</v>
      </c>
      <c r="N168" s="450" t="n">
        <f aca="false">+N137+N27</f>
        <v>2</v>
      </c>
      <c r="O168" s="450" t="n">
        <f aca="false">+O137+O27</f>
        <v>1.25</v>
      </c>
      <c r="P168" s="450" t="n">
        <f aca="false">+P137+P27</f>
        <v>0</v>
      </c>
      <c r="Q168" s="450" t="n">
        <f aca="false">+Q137+Q27</f>
        <v>10</v>
      </c>
      <c r="R168" s="450" t="n">
        <f aca="false">+R137+R27</f>
        <v>5</v>
      </c>
      <c r="S168" s="450" t="n">
        <f aca="false">+S137+S27</f>
        <v>0</v>
      </c>
      <c r="T168" s="92" t="n">
        <f aca="false">+E168+H168+K168+N168+Q168</f>
        <v>14</v>
      </c>
      <c r="U168" s="80" t="n">
        <f aca="false">+F168+G168+I168+J168+L168+M168+O168+P168+R168+S168</f>
        <v>7.5</v>
      </c>
    </row>
    <row r="169" customFormat="false" ht="13.2" hidden="false" customHeight="false" outlineLevel="0" collapsed="false">
      <c r="B169" s="205" t="n">
        <v>36719</v>
      </c>
      <c r="C169" s="204"/>
      <c r="D169" s="74"/>
      <c r="E169" s="450" t="n">
        <f aca="false">+E138+E32</f>
        <v>1</v>
      </c>
      <c r="F169" s="450" t="n">
        <f aca="false">+F138+F32</f>
        <v>0.625</v>
      </c>
      <c r="G169" s="450" t="n">
        <f aca="false">+G138+G32</f>
        <v>0</v>
      </c>
      <c r="H169" s="450" t="n">
        <f aca="false">+H138+H32</f>
        <v>1</v>
      </c>
      <c r="I169" s="450" t="n">
        <f aca="false">+I138+I32</f>
        <v>0.625</v>
      </c>
      <c r="J169" s="450" t="n">
        <f aca="false">+J138+J32</f>
        <v>0</v>
      </c>
      <c r="K169" s="450" t="n">
        <f aca="false">+K138+K32</f>
        <v>1</v>
      </c>
      <c r="L169" s="450" t="n">
        <f aca="false">+L138+L32</f>
        <v>0.625</v>
      </c>
      <c r="M169" s="450" t="n">
        <f aca="false">+M138+M32</f>
        <v>0</v>
      </c>
      <c r="N169" s="450" t="n">
        <f aca="false">+N138+N32</f>
        <v>2</v>
      </c>
      <c r="O169" s="450" t="n">
        <f aca="false">+O138+O32</f>
        <v>1.25</v>
      </c>
      <c r="P169" s="450" t="n">
        <f aca="false">+P138+P32</f>
        <v>0</v>
      </c>
      <c r="Q169" s="450" t="n">
        <f aca="false">+Q138+Q32</f>
        <v>11</v>
      </c>
      <c r="R169" s="450" t="n">
        <f aca="false">+R138+R32</f>
        <v>5</v>
      </c>
      <c r="S169" s="450" t="n">
        <f aca="false">+S138+S32</f>
        <v>0</v>
      </c>
      <c r="T169" s="92" t="n">
        <f aca="false">+E169+H169+K169+N169+Q169</f>
        <v>16</v>
      </c>
      <c r="U169" s="80" t="n">
        <f aca="false">+F169+G169+I169+J169+L169+M169+O169+P169+R169+S169</f>
        <v>8.125</v>
      </c>
    </row>
    <row r="170" customFormat="false" ht="13.2" hidden="false" customHeight="false" outlineLevel="0" collapsed="false">
      <c r="B170" s="205" t="n">
        <v>36720</v>
      </c>
      <c r="C170" s="204"/>
      <c r="D170" s="74"/>
      <c r="E170" s="450" t="n">
        <f aca="false">+E139+E33</f>
        <v>1</v>
      </c>
      <c r="F170" s="450" t="n">
        <f aca="false">+F139+F33</f>
        <v>0.625</v>
      </c>
      <c r="G170" s="450" t="n">
        <f aca="false">+G139+G33</f>
        <v>0</v>
      </c>
      <c r="H170" s="450" t="n">
        <f aca="false">+H139+H33</f>
        <v>1</v>
      </c>
      <c r="I170" s="450" t="n">
        <f aca="false">+I139+I33</f>
        <v>0.625</v>
      </c>
      <c r="J170" s="450" t="n">
        <f aca="false">+J139+J33</f>
        <v>0</v>
      </c>
      <c r="K170" s="450" t="n">
        <f aca="false">+K139+K33</f>
        <v>1</v>
      </c>
      <c r="L170" s="450" t="n">
        <f aca="false">+L139+L33</f>
        <v>0.625</v>
      </c>
      <c r="M170" s="450" t="n">
        <f aca="false">+M139+M33</f>
        <v>0</v>
      </c>
      <c r="N170" s="450" t="n">
        <f aca="false">+N139+N33</f>
        <v>2</v>
      </c>
      <c r="O170" s="450" t="n">
        <f aca="false">+O139+O33</f>
        <v>1.25</v>
      </c>
      <c r="P170" s="450" t="n">
        <f aca="false">+P139+P33</f>
        <v>0</v>
      </c>
      <c r="Q170" s="450" t="n">
        <f aca="false">+Q139+Q33</f>
        <v>10</v>
      </c>
      <c r="R170" s="450" t="n">
        <f aca="false">+R139+R33</f>
        <v>5</v>
      </c>
      <c r="S170" s="450" t="n">
        <f aca="false">+S139+S33</f>
        <v>0</v>
      </c>
      <c r="T170" s="92" t="n">
        <f aca="false">+E170+H170+K170+N170+Q170</f>
        <v>15</v>
      </c>
      <c r="U170" s="80" t="n">
        <f aca="false">+F170+G170+I170+J170+L170+M170+O170+P170+R170+S170</f>
        <v>8.125</v>
      </c>
    </row>
    <row r="171" customFormat="false" ht="13.2" hidden="false" customHeight="false" outlineLevel="0" collapsed="false">
      <c r="B171" s="205" t="n">
        <v>36738</v>
      </c>
      <c r="C171" s="204"/>
      <c r="D171" s="74"/>
      <c r="E171" s="450" t="n">
        <f aca="false">+E108</f>
        <v>0</v>
      </c>
      <c r="F171" s="450" t="n">
        <f aca="false">+F108</f>
        <v>0</v>
      </c>
      <c r="G171" s="450" t="n">
        <f aca="false">+G108</f>
        <v>0</v>
      </c>
      <c r="H171" s="450" t="n">
        <f aca="false">+H108</f>
        <v>0</v>
      </c>
      <c r="I171" s="450" t="n">
        <f aca="false">+I108</f>
        <v>0</v>
      </c>
      <c r="J171" s="450" t="n">
        <f aca="false">+J108</f>
        <v>0</v>
      </c>
      <c r="K171" s="450" t="n">
        <f aca="false">+K108</f>
        <v>1</v>
      </c>
      <c r="L171" s="450" t="n">
        <f aca="false">+L108</f>
        <v>0.625</v>
      </c>
      <c r="M171" s="450" t="n">
        <f aca="false">+M108</f>
        <v>0</v>
      </c>
      <c r="N171" s="450" t="n">
        <f aca="false">+N108</f>
        <v>1</v>
      </c>
      <c r="O171" s="450" t="n">
        <f aca="false">+O108</f>
        <v>0.625</v>
      </c>
      <c r="P171" s="450" t="n">
        <f aca="false">+P108</f>
        <v>0</v>
      </c>
      <c r="Q171" s="450" t="n">
        <f aca="false">+Q108</f>
        <v>7</v>
      </c>
      <c r="R171" s="450" t="n">
        <f aca="false">+R108</f>
        <v>2</v>
      </c>
      <c r="S171" s="450" t="n">
        <f aca="false">+S108</f>
        <v>0</v>
      </c>
      <c r="T171" s="92"/>
      <c r="U171" s="80"/>
    </row>
    <row r="172" customFormat="false" ht="13.2" hidden="false" customHeight="false" outlineLevel="0" collapsed="false">
      <c r="B172" s="205" t="n">
        <v>36739</v>
      </c>
      <c r="C172" s="204"/>
      <c r="D172" s="74"/>
      <c r="E172" s="450" t="n">
        <f aca="false">+E109</f>
        <v>0</v>
      </c>
      <c r="F172" s="450" t="n">
        <f aca="false">+F109</f>
        <v>0</v>
      </c>
      <c r="G172" s="450" t="n">
        <f aca="false">+G109</f>
        <v>0</v>
      </c>
      <c r="H172" s="450" t="n">
        <f aca="false">+H109</f>
        <v>0</v>
      </c>
      <c r="I172" s="450" t="n">
        <f aca="false">+I109</f>
        <v>0</v>
      </c>
      <c r="J172" s="450" t="n">
        <f aca="false">+J109</f>
        <v>0</v>
      </c>
      <c r="K172" s="450" t="n">
        <f aca="false">+K109</f>
        <v>1</v>
      </c>
      <c r="L172" s="450" t="n">
        <f aca="false">+L109</f>
        <v>0.5</v>
      </c>
      <c r="M172" s="450" t="n">
        <f aca="false">+M109</f>
        <v>0</v>
      </c>
      <c r="N172" s="450" t="n">
        <f aca="false">+N109</f>
        <v>1</v>
      </c>
      <c r="O172" s="450" t="n">
        <f aca="false">+O109</f>
        <v>0.5</v>
      </c>
      <c r="P172" s="450" t="n">
        <f aca="false">+P109</f>
        <v>0</v>
      </c>
      <c r="Q172" s="450" t="n">
        <f aca="false">+Q109</f>
        <v>4</v>
      </c>
      <c r="R172" s="450" t="n">
        <f aca="false">+R109</f>
        <v>2</v>
      </c>
      <c r="S172" s="450" t="n">
        <f aca="false">+S109</f>
        <v>0</v>
      </c>
      <c r="T172" s="92"/>
      <c r="U172" s="80"/>
    </row>
    <row r="173" customFormat="false" ht="13.2" hidden="false" customHeight="false" outlineLevel="0" collapsed="false">
      <c r="B173" s="205" t="n">
        <v>36740</v>
      </c>
      <c r="C173" s="204"/>
      <c r="D173" s="74"/>
      <c r="E173" s="450" t="n">
        <f aca="false">+E110</f>
        <v>0</v>
      </c>
      <c r="F173" s="450" t="n">
        <f aca="false">+F110</f>
        <v>0</v>
      </c>
      <c r="G173" s="450" t="n">
        <f aca="false">+G110</f>
        <v>0</v>
      </c>
      <c r="H173" s="450" t="n">
        <f aca="false">+H110</f>
        <v>0</v>
      </c>
      <c r="I173" s="450" t="n">
        <f aca="false">+I110</f>
        <v>0</v>
      </c>
      <c r="J173" s="450" t="n">
        <f aca="false">+J110</f>
        <v>0</v>
      </c>
      <c r="K173" s="450" t="n">
        <f aca="false">+K110</f>
        <v>1</v>
      </c>
      <c r="L173" s="450" t="n">
        <f aca="false">+L110</f>
        <v>0.5</v>
      </c>
      <c r="M173" s="450" t="n">
        <f aca="false">+M110</f>
        <v>0</v>
      </c>
      <c r="N173" s="450" t="n">
        <f aca="false">+N110</f>
        <v>1</v>
      </c>
      <c r="O173" s="450" t="n">
        <f aca="false">+O110</f>
        <v>0.5</v>
      </c>
      <c r="P173" s="450" t="n">
        <f aca="false">+P110</f>
        <v>0</v>
      </c>
      <c r="Q173" s="450" t="n">
        <f aca="false">+Q110</f>
        <v>4</v>
      </c>
      <c r="R173" s="450" t="n">
        <f aca="false">+R110</f>
        <v>2</v>
      </c>
      <c r="S173" s="450" t="n">
        <f aca="false">+S110</f>
        <v>0</v>
      </c>
      <c r="T173" s="92"/>
      <c r="U173" s="80"/>
    </row>
    <row r="174" customFormat="false" ht="13.2" hidden="false" customHeight="false" outlineLevel="0" collapsed="false">
      <c r="B174" s="205" t="n">
        <v>36741</v>
      </c>
      <c r="C174" s="204"/>
      <c r="D174" s="74"/>
      <c r="E174" s="450" t="n">
        <f aca="false">+E111</f>
        <v>0</v>
      </c>
      <c r="F174" s="450" t="n">
        <f aca="false">+F111</f>
        <v>0</v>
      </c>
      <c r="G174" s="450" t="n">
        <f aca="false">+G111</f>
        <v>0</v>
      </c>
      <c r="H174" s="450" t="n">
        <f aca="false">+H111</f>
        <v>0</v>
      </c>
      <c r="I174" s="450" t="n">
        <f aca="false">+I111</f>
        <v>0</v>
      </c>
      <c r="J174" s="450" t="n">
        <f aca="false">+J111</f>
        <v>0</v>
      </c>
      <c r="K174" s="450" t="n">
        <f aca="false">+K111</f>
        <v>1</v>
      </c>
      <c r="L174" s="450" t="n">
        <f aca="false">+L111</f>
        <v>0.5</v>
      </c>
      <c r="M174" s="450" t="n">
        <f aca="false">+M111</f>
        <v>0</v>
      </c>
      <c r="N174" s="450" t="n">
        <f aca="false">+N111</f>
        <v>1</v>
      </c>
      <c r="O174" s="450" t="n">
        <f aca="false">+O111</f>
        <v>0.5</v>
      </c>
      <c r="P174" s="450" t="n">
        <f aca="false">+P111</f>
        <v>0</v>
      </c>
      <c r="Q174" s="450" t="n">
        <f aca="false">+Q111</f>
        <v>4</v>
      </c>
      <c r="R174" s="450" t="n">
        <f aca="false">+R111</f>
        <v>2</v>
      </c>
      <c r="S174" s="450" t="n">
        <f aca="false">+S111</f>
        <v>0</v>
      </c>
      <c r="T174" s="92"/>
      <c r="U174" s="80"/>
    </row>
    <row r="175" customFormat="false" ht="13.2" hidden="false" customHeight="false" outlineLevel="0" collapsed="false">
      <c r="B175" s="205" t="n">
        <v>36742</v>
      </c>
      <c r="C175" s="204"/>
      <c r="D175" s="74"/>
      <c r="E175" s="450" t="n">
        <f aca="false">+E112</f>
        <v>0</v>
      </c>
      <c r="F175" s="450" t="n">
        <f aca="false">+F112</f>
        <v>0</v>
      </c>
      <c r="G175" s="450" t="n">
        <f aca="false">+G112</f>
        <v>0</v>
      </c>
      <c r="H175" s="450" t="n">
        <f aca="false">+H112</f>
        <v>0</v>
      </c>
      <c r="I175" s="450" t="n">
        <f aca="false">+I112</f>
        <v>0</v>
      </c>
      <c r="J175" s="450" t="n">
        <f aca="false">+J112</f>
        <v>0</v>
      </c>
      <c r="K175" s="450" t="n">
        <f aca="false">+K112</f>
        <v>2</v>
      </c>
      <c r="L175" s="450" t="n">
        <f aca="false">+L112</f>
        <v>0.5</v>
      </c>
      <c r="M175" s="450" t="n">
        <f aca="false">+M112</f>
        <v>0</v>
      </c>
      <c r="N175" s="450" t="n">
        <f aca="false">+N112</f>
        <v>2</v>
      </c>
      <c r="O175" s="450" t="n">
        <f aca="false">+O112</f>
        <v>0.5</v>
      </c>
      <c r="P175" s="450" t="n">
        <f aca="false">+P112</f>
        <v>0</v>
      </c>
      <c r="Q175" s="450" t="n">
        <f aca="false">+Q112</f>
        <v>9</v>
      </c>
      <c r="R175" s="450" t="n">
        <f aca="false">+R112</f>
        <v>2</v>
      </c>
      <c r="S175" s="450" t="n">
        <f aca="false">+S112</f>
        <v>0</v>
      </c>
      <c r="T175" s="92"/>
      <c r="U175" s="80"/>
    </row>
    <row r="176" customFormat="false" ht="13.2" hidden="false" customHeight="false" outlineLevel="0" collapsed="false">
      <c r="E176" s="450"/>
      <c r="F176" s="450"/>
      <c r="G176" s="450"/>
      <c r="H176" s="450"/>
      <c r="I176" s="450"/>
      <c r="J176" s="450"/>
      <c r="K176" s="450"/>
      <c r="L176" s="450"/>
      <c r="M176" s="450"/>
      <c r="N176" s="450"/>
      <c r="O176" s="450"/>
      <c r="P176" s="450"/>
      <c r="Q176" s="450"/>
      <c r="R176" s="450"/>
      <c r="S176" s="450"/>
      <c r="T176" s="92"/>
      <c r="U176" s="80"/>
    </row>
    <row r="177" customFormat="false" ht="13.2" hidden="false" customHeight="false" outlineLevel="0" collapsed="false">
      <c r="B177" s="73" t="s">
        <v>156</v>
      </c>
      <c r="C177" s="82"/>
      <c r="D177" s="82"/>
      <c r="E177" s="203" t="n">
        <f aca="false">SUM(E161:E176)</f>
        <v>5</v>
      </c>
      <c r="F177" s="203" t="n">
        <f aca="false">SUM(F161:F176)</f>
        <v>4.75</v>
      </c>
      <c r="G177" s="203" t="n">
        <f aca="false">SUM(G161:G176)</f>
        <v>1.625</v>
      </c>
      <c r="H177" s="203" t="n">
        <f aca="false">SUM(H161:H176)</f>
        <v>2</v>
      </c>
      <c r="I177" s="203" t="n">
        <f aca="false">SUM(I161:I176)</f>
        <v>1.25</v>
      </c>
      <c r="J177" s="203" t="n">
        <f aca="false">SUM(J161:J176)</f>
        <v>0</v>
      </c>
      <c r="K177" s="203" t="n">
        <f aca="false">SUM(K161:K176)</f>
        <v>14</v>
      </c>
      <c r="L177" s="203" t="n">
        <f aca="false">SUM(L161:L176)</f>
        <v>9.25</v>
      </c>
      <c r="M177" s="203" t="n">
        <f aca="false">SUM(M161:M176)</f>
        <v>1.625</v>
      </c>
      <c r="N177" s="203" t="n">
        <f aca="false">SUM(N161:N176)</f>
        <v>22.5</v>
      </c>
      <c r="O177" s="203" t="n">
        <f aca="false">SUM(O161:O176)</f>
        <v>15.625</v>
      </c>
      <c r="P177" s="203" t="n">
        <f aca="false">SUM(P161:P176)</f>
        <v>3.25</v>
      </c>
      <c r="Q177" s="203" t="n">
        <f aca="false">SUM(Q161:Q176)</f>
        <v>122.5</v>
      </c>
      <c r="R177" s="203" t="n">
        <f aca="false">SUM(R161:R176)</f>
        <v>75.5</v>
      </c>
      <c r="S177" s="203" t="n">
        <f aca="false">SUM(S161:S176)</f>
        <v>19.5</v>
      </c>
      <c r="T177" s="203" t="n">
        <f aca="false">SUM(T161:T176)</f>
        <v>96</v>
      </c>
      <c r="U177" s="75" t="n">
        <f aca="false">SUM(U161:U176)</f>
        <v>101.375</v>
      </c>
    </row>
    <row r="178" customFormat="false" ht="13.2" hidden="false" customHeight="false" outlineLevel="0" collapsed="false">
      <c r="B178" s="73" t="s">
        <v>199</v>
      </c>
      <c r="C178" s="246"/>
      <c r="D178" s="246"/>
      <c r="E178" s="75" t="n">
        <v>85</v>
      </c>
      <c r="F178" s="75" t="n">
        <v>95</v>
      </c>
      <c r="G178" s="80" t="n">
        <v>125</v>
      </c>
      <c r="H178" s="75" t="n">
        <v>100</v>
      </c>
      <c r="I178" s="75" t="n">
        <v>150</v>
      </c>
      <c r="J178" s="80" t="n">
        <v>200</v>
      </c>
      <c r="K178" s="80" t="n">
        <v>52</v>
      </c>
      <c r="L178" s="80" t="n">
        <v>65.5</v>
      </c>
      <c r="M178" s="80" t="n">
        <v>81</v>
      </c>
      <c r="N178" s="80" t="n">
        <v>48</v>
      </c>
      <c r="O178" s="80" t="n">
        <v>63</v>
      </c>
      <c r="P178" s="80" t="n">
        <v>77.5</v>
      </c>
      <c r="Q178" s="80" t="n">
        <v>46</v>
      </c>
      <c r="R178" s="80" t="n">
        <v>59</v>
      </c>
      <c r="S178" s="80" t="n">
        <v>72.5</v>
      </c>
      <c r="T178" s="80"/>
      <c r="U178" s="80"/>
    </row>
    <row r="179" customFormat="false" ht="13.2" hidden="false" customHeight="false" outlineLevel="0" collapsed="false">
      <c r="B179" s="73"/>
      <c r="E179" s="247"/>
      <c r="F179" s="247"/>
      <c r="G179" s="247"/>
      <c r="H179" s="247"/>
      <c r="I179" s="247"/>
      <c r="J179" s="247"/>
      <c r="K179" s="247"/>
      <c r="L179" s="247"/>
      <c r="M179" s="247"/>
      <c r="N179" s="247"/>
      <c r="O179" s="247"/>
      <c r="P179" s="247"/>
      <c r="Q179" s="92"/>
      <c r="R179" s="80"/>
    </row>
  </sheetData>
  <mergeCells count="1">
    <mergeCell ref="J6:K6"/>
  </mergeCells>
  <printOptions headings="false" gridLines="false" gridLinesSet="true" horizontalCentered="false" verticalCentered="false"/>
  <pageMargins left="0.179861111111111" right="0.179861111111111" top="0.459722222222222" bottom="0.370138888888889" header="0.2" footer="0.179861111111111"/>
  <pageSetup paperSize="1" scale="75" fitToWidth="1" fitToHeight="1" pageOrder="downThenOver" orientation="landscape" blackAndWhite="false" draft="false" cellComments="none" horizontalDpi="300" verticalDpi="300" copies="1"/>
  <headerFooter differentFirst="false" differentOddEven="false">
    <oddHeader>&amp;L&amp;"Arial,Bold"&amp;12Doyle Power, LCC - Principal Insured&amp;C&amp;"Arial,Bold"&amp;12Schedule 1&amp;RThru: &amp;D
Page &amp;P</oddHeader>
    <oddFooter>&amp;L&amp;F&amp;R&amp;A</oddFooter>
  </headerFooter>
  <rowBreaks count="3" manualBreakCount="3">
    <brk id="53" man="true" max="16383" min="0"/>
    <brk id="102" man="true" max="16383" min="0"/>
    <brk id="127"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61"/>
  <sheetViews>
    <sheetView showFormulas="false" showGridLines="true" showRowColHeaders="true" showZeros="true" rightToLeft="false" tabSelected="false" showOutlineSymbols="true" defaultGridColor="true" view="pageBreakPreview" topLeftCell="A1" colorId="64" zoomScale="75" zoomScaleNormal="75" zoomScalePageLayoutView="75" workbookViewId="0">
      <selection pane="topLeft" activeCell="C2" activeCellId="0" sqref="C2"/>
    </sheetView>
  </sheetViews>
  <sheetFormatPr defaultColWidth="10.328125" defaultRowHeight="13.2" customHeight="true" zeroHeight="false" outlineLevelRow="0" outlineLevelCol="0"/>
  <cols>
    <col collapsed="false" customWidth="true" hidden="false" outlineLevel="0" max="1" min="1" style="37" width="3.66"/>
    <col collapsed="false" customWidth="true" hidden="false" outlineLevel="0" max="2" min="2" style="37" width="2.32"/>
    <col collapsed="false" customWidth="true" hidden="false" outlineLevel="0" max="7" min="3" style="37" width="5.99"/>
    <col collapsed="false" customWidth="true" hidden="false" outlineLevel="0" max="8" min="8" style="38" width="2.55"/>
    <col collapsed="false" customWidth="true" hidden="false" outlineLevel="0" max="9" min="9" style="38" width="7.32"/>
    <col collapsed="false" customWidth="true" hidden="false" outlineLevel="0" max="10" min="10" style="38" width="11.32"/>
    <col collapsed="false" customWidth="true" hidden="false" outlineLevel="0" max="11" min="11" style="39" width="13.99"/>
    <col collapsed="false" customWidth="true" hidden="false" outlineLevel="0" max="12" min="12" style="39" width="16.99"/>
    <col collapsed="false" customWidth="true" hidden="false" outlineLevel="0" max="13" min="13" style="39" width="15.32"/>
    <col collapsed="false" customWidth="true" hidden="false" outlineLevel="0" max="14" min="14" style="40" width="0.21"/>
    <col collapsed="false" customWidth="false" hidden="false" outlineLevel="0" max="257" min="15" style="38" width="10.32"/>
  </cols>
  <sheetData>
    <row r="1" customFormat="false" ht="15.6" hidden="false" customHeight="false" outlineLevel="0" collapsed="false">
      <c r="C1" s="41" t="s">
        <v>24</v>
      </c>
      <c r="D1" s="41"/>
      <c r="E1" s="41"/>
      <c r="F1" s="41"/>
      <c r="G1" s="41"/>
      <c r="H1" s="41"/>
      <c r="J1" s="42"/>
    </row>
    <row r="2" customFormat="false" ht="13.2" hidden="false" customHeight="false" outlineLevel="0" collapsed="false">
      <c r="C2" s="38" t="s">
        <v>25</v>
      </c>
      <c r="D2" s="38"/>
      <c r="E2" s="38"/>
      <c r="F2" s="38"/>
      <c r="G2" s="38"/>
    </row>
    <row r="3" customFormat="false" ht="18.6" hidden="false" customHeight="true" outlineLevel="0" collapsed="false">
      <c r="A3" s="43" t="s">
        <v>6</v>
      </c>
      <c r="B3" s="43"/>
      <c r="C3" s="43" t="s">
        <v>26</v>
      </c>
      <c r="D3" s="43"/>
      <c r="E3" s="43"/>
      <c r="F3" s="43"/>
      <c r="G3" s="44"/>
      <c r="H3" s="44"/>
      <c r="I3" s="41"/>
      <c r="J3" s="41" t="s">
        <v>27</v>
      </c>
      <c r="K3" s="45" t="s">
        <v>28</v>
      </c>
      <c r="L3" s="45" t="s">
        <v>29</v>
      </c>
      <c r="M3" s="45" t="s">
        <v>30</v>
      </c>
      <c r="N3" s="46"/>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c r="IR3" s="41"/>
      <c r="IS3" s="41"/>
      <c r="IT3" s="41"/>
      <c r="IU3" s="41"/>
      <c r="IV3" s="41"/>
      <c r="IW3" s="41"/>
    </row>
    <row r="4" customFormat="false" ht="13.2" hidden="false" customHeight="false" outlineLevel="0" collapsed="false">
      <c r="A4" s="47" t="n">
        <v>1</v>
      </c>
      <c r="B4" s="37" t="s">
        <v>31</v>
      </c>
      <c r="J4" s="38" t="s">
        <v>32</v>
      </c>
      <c r="K4" s="39" t="n">
        <f aca="false">+'Schedule 1'!J52</f>
        <v>1108899.42</v>
      </c>
      <c r="L4" s="39" t="n">
        <f aca="false">+'Schedule 1'!K52</f>
        <v>-313782.85072669</v>
      </c>
      <c r="M4" s="39" t="n">
        <f aca="false">+'Schedule 1'!L52</f>
        <v>795116.56927331</v>
      </c>
      <c r="N4" s="40" t="n">
        <f aca="false">+M4-L4=K4</f>
        <v>1</v>
      </c>
    </row>
    <row r="5" customFormat="false" ht="13.2" hidden="false" customHeight="false" outlineLevel="0" collapsed="false">
      <c r="A5" s="47"/>
      <c r="C5" s="48" t="s">
        <v>33</v>
      </c>
    </row>
    <row r="6" customFormat="false" ht="13.2" hidden="false" customHeight="false" outlineLevel="0" collapsed="false">
      <c r="A6" s="47"/>
      <c r="C6" s="48" t="s">
        <v>34</v>
      </c>
    </row>
    <row r="7" customFormat="false" ht="13.2" hidden="false" customHeight="false" outlineLevel="0" collapsed="false">
      <c r="A7" s="47" t="n">
        <v>2</v>
      </c>
      <c r="B7" s="37" t="s">
        <v>35</v>
      </c>
      <c r="J7" s="38" t="s">
        <v>36</v>
      </c>
      <c r="K7" s="39" t="n">
        <f aca="false">+'Schedule 2'!N33</f>
        <v>2574821.59</v>
      </c>
      <c r="L7" s="39" t="n">
        <f aca="false">+'Schedule 2'!O33</f>
        <v>-1999932.51576471</v>
      </c>
      <c r="M7" s="39" t="n">
        <f aca="false">+'Schedule 2'!P33</f>
        <v>574889.074235294</v>
      </c>
      <c r="N7" s="40" t="n">
        <f aca="false">+M7-L7=K7</f>
        <v>1</v>
      </c>
    </row>
    <row r="8" customFormat="false" ht="13.2" hidden="false" customHeight="false" outlineLevel="0" collapsed="false">
      <c r="A8" s="47"/>
      <c r="C8" s="48" t="s">
        <v>37</v>
      </c>
    </row>
    <row r="9" customFormat="false" ht="13.2" hidden="false" customHeight="false" outlineLevel="0" collapsed="false">
      <c r="A9" s="47" t="n">
        <v>3</v>
      </c>
      <c r="B9" s="37" t="s">
        <v>38</v>
      </c>
      <c r="J9" s="38" t="s">
        <v>36</v>
      </c>
      <c r="K9" s="39" t="n">
        <v>92392</v>
      </c>
      <c r="L9" s="39" t="n">
        <f aca="false">+'Schedule 2'!O40</f>
        <v>-85000</v>
      </c>
      <c r="M9" s="39" t="n">
        <f aca="false">+'Schedule 2'!P40</f>
        <v>7392</v>
      </c>
      <c r="N9" s="40" t="n">
        <f aca="false">+M9-L9=K9</f>
        <v>1</v>
      </c>
    </row>
    <row r="10" customFormat="false" ht="13.2" hidden="false" customHeight="false" outlineLevel="0" collapsed="false">
      <c r="A10" s="47"/>
      <c r="C10" s="48" t="s">
        <v>39</v>
      </c>
    </row>
    <row r="11" customFormat="false" ht="13.2" hidden="false" customHeight="false" outlineLevel="0" collapsed="false">
      <c r="A11" s="47" t="n">
        <v>4</v>
      </c>
      <c r="B11" s="37" t="s">
        <v>40</v>
      </c>
      <c r="J11" s="38" t="s">
        <v>36</v>
      </c>
      <c r="K11" s="39" t="n">
        <f aca="false">+'Schedule 2'!N82</f>
        <v>349089.84</v>
      </c>
      <c r="L11" s="39" t="n">
        <f aca="false">+'Schedule 2'!O82</f>
        <v>2943.55</v>
      </c>
      <c r="M11" s="39" t="n">
        <f aca="false">+'Schedule 2'!P82</f>
        <v>352033.39</v>
      </c>
      <c r="N11" s="40" t="n">
        <f aca="false">+M11-L11=K11</f>
        <v>1</v>
      </c>
    </row>
    <row r="12" customFormat="false" ht="13.2" hidden="false" customHeight="false" outlineLevel="0" collapsed="false">
      <c r="A12" s="47"/>
      <c r="C12" s="48" t="s">
        <v>41</v>
      </c>
    </row>
    <row r="13" customFormat="false" ht="13.2" hidden="false" customHeight="false" outlineLevel="0" collapsed="false">
      <c r="A13" s="47"/>
      <c r="C13" s="48" t="s">
        <v>42</v>
      </c>
    </row>
    <row r="14" customFormat="false" ht="13.2" hidden="false" customHeight="false" outlineLevel="0" collapsed="false">
      <c r="A14" s="47" t="n">
        <v>5</v>
      </c>
      <c r="B14" s="37" t="s">
        <v>43</v>
      </c>
      <c r="J14" s="38" t="s">
        <v>36</v>
      </c>
      <c r="K14" s="39" t="n">
        <v>18507.78</v>
      </c>
      <c r="L14" s="39" t="n">
        <f aca="false">+'Schedule 2'!O85</f>
        <v>0</v>
      </c>
      <c r="M14" s="39" t="n">
        <f aca="false">+'Schedule 2'!P85</f>
        <v>18507.78</v>
      </c>
      <c r="N14" s="40" t="n">
        <f aca="false">+M14-L14=K14</f>
        <v>1</v>
      </c>
    </row>
    <row r="15" customFormat="false" ht="13.2" hidden="false" customHeight="false" outlineLevel="0" collapsed="false">
      <c r="A15" s="47"/>
      <c r="C15" s="48" t="s">
        <v>44</v>
      </c>
    </row>
    <row r="16" customFormat="false" ht="13.2" hidden="false" customHeight="false" outlineLevel="0" collapsed="false">
      <c r="A16" s="47" t="n">
        <v>6</v>
      </c>
      <c r="B16" s="37" t="s">
        <v>45</v>
      </c>
      <c r="J16" s="38" t="s">
        <v>36</v>
      </c>
      <c r="K16" s="39" t="n">
        <v>31551.43</v>
      </c>
      <c r="L16" s="39" t="n">
        <f aca="false">+'Schedule 2'!O118</f>
        <v>-11710.14</v>
      </c>
      <c r="M16" s="39" t="n">
        <f aca="false">+'Schedule 2'!P118</f>
        <v>19841.29</v>
      </c>
      <c r="N16" s="40" t="n">
        <f aca="false">+M16-L16=K16</f>
        <v>1</v>
      </c>
    </row>
    <row r="17" customFormat="false" ht="13.2" hidden="false" customHeight="false" outlineLevel="0" collapsed="false">
      <c r="A17" s="47"/>
      <c r="C17" s="48" t="s">
        <v>46</v>
      </c>
    </row>
    <row r="18" customFormat="false" ht="13.2" hidden="false" customHeight="false" outlineLevel="0" collapsed="false">
      <c r="A18" s="47"/>
      <c r="C18" s="48" t="s">
        <v>47</v>
      </c>
    </row>
    <row r="19" customFormat="false" ht="13.2" hidden="false" customHeight="false" outlineLevel="0" collapsed="false">
      <c r="A19" s="47"/>
      <c r="C19" s="48" t="s">
        <v>48</v>
      </c>
    </row>
    <row r="20" customFormat="false" ht="13.2" hidden="false" customHeight="false" outlineLevel="0" collapsed="false">
      <c r="A20" s="47" t="n">
        <v>7</v>
      </c>
      <c r="B20" s="37" t="s">
        <v>49</v>
      </c>
      <c r="J20" s="38" t="s">
        <v>36</v>
      </c>
      <c r="K20" s="39" t="n">
        <v>35808.78</v>
      </c>
      <c r="L20" s="39" t="n">
        <f aca="false">+'Schedule 2'!O132</f>
        <v>0</v>
      </c>
      <c r="M20" s="39" t="n">
        <f aca="false">+'Schedule 2'!P132</f>
        <v>35808.78</v>
      </c>
      <c r="N20" s="40" t="n">
        <f aca="false">+M20-L20=K20</f>
        <v>1</v>
      </c>
    </row>
    <row r="21" customFormat="false" ht="13.2" hidden="false" customHeight="false" outlineLevel="0" collapsed="false">
      <c r="A21" s="47"/>
      <c r="C21" s="48" t="s">
        <v>50</v>
      </c>
    </row>
    <row r="22" customFormat="false" ht="13.2" hidden="false" customHeight="false" outlineLevel="0" collapsed="false">
      <c r="A22" s="47" t="n">
        <v>8</v>
      </c>
      <c r="B22" s="37" t="s">
        <v>51</v>
      </c>
      <c r="J22" s="38" t="s">
        <v>52</v>
      </c>
      <c r="K22" s="39" t="n">
        <f aca="false">+'Schedule 3'!L70</f>
        <v>840226.94</v>
      </c>
      <c r="L22" s="39" t="n">
        <f aca="false">+'Schedule 3'!M70</f>
        <v>-309828.175930213</v>
      </c>
      <c r="M22" s="39" t="n">
        <f aca="false">+'Schedule 3'!N70</f>
        <v>530398.764069787</v>
      </c>
      <c r="N22" s="40" t="n">
        <f aca="false">+M22-L22=K22</f>
        <v>1</v>
      </c>
    </row>
    <row r="23" customFormat="false" ht="13.2" hidden="false" customHeight="false" outlineLevel="0" collapsed="false">
      <c r="A23" s="47"/>
      <c r="C23" s="48" t="s">
        <v>53</v>
      </c>
    </row>
    <row r="24" customFormat="false" ht="13.2" hidden="false" customHeight="false" outlineLevel="0" collapsed="false">
      <c r="A24" s="47" t="n">
        <v>9</v>
      </c>
      <c r="B24" s="37" t="s">
        <v>54</v>
      </c>
      <c r="J24" s="38" t="s">
        <v>36</v>
      </c>
      <c r="K24" s="39" t="n">
        <f aca="false">+'Schedule 2'!N143</f>
        <v>627285.56</v>
      </c>
      <c r="L24" s="39" t="n">
        <f aca="false">+'Schedule 2'!O143</f>
        <v>-627285.56</v>
      </c>
      <c r="M24" s="39" t="n">
        <f aca="false">+'Schedule 2'!P143</f>
        <v>0</v>
      </c>
      <c r="N24" s="40" t="n">
        <f aca="false">+M24-L24=K24</f>
        <v>1</v>
      </c>
    </row>
    <row r="25" customFormat="false" ht="13.2" hidden="false" customHeight="false" outlineLevel="0" collapsed="false">
      <c r="A25" s="47"/>
      <c r="C25" s="48" t="s">
        <v>55</v>
      </c>
    </row>
    <row r="26" customFormat="false" ht="13.2" hidden="false" customHeight="false" outlineLevel="0" collapsed="false">
      <c r="A26" s="47" t="n">
        <v>10</v>
      </c>
      <c r="B26" s="37" t="s">
        <v>56</v>
      </c>
      <c r="J26" s="38" t="s">
        <v>57</v>
      </c>
      <c r="K26" s="39" t="n">
        <f aca="false">+'Schedule 4'!K215</f>
        <v>334286.79</v>
      </c>
      <c r="L26" s="39" t="n">
        <f aca="false">+'Schedule 4'!L215</f>
        <v>-70795.265</v>
      </c>
      <c r="M26" s="39" t="n">
        <f aca="false">+'Schedule 4'!M215</f>
        <v>263491.525</v>
      </c>
      <c r="N26" s="40" t="n">
        <f aca="false">+M26-L26=K26</f>
        <v>1</v>
      </c>
    </row>
    <row r="27" customFormat="false" ht="13.2" hidden="false" customHeight="false" outlineLevel="0" collapsed="false">
      <c r="A27" s="47"/>
      <c r="C27" s="48" t="s">
        <v>58</v>
      </c>
    </row>
    <row r="28" customFormat="false" ht="13.2" hidden="false" customHeight="false" outlineLevel="0" collapsed="false">
      <c r="A28" s="47"/>
      <c r="C28" s="48" t="s">
        <v>59</v>
      </c>
    </row>
    <row r="29" customFormat="false" ht="13.2" hidden="false" customHeight="false" outlineLevel="0" collapsed="false">
      <c r="A29" s="47"/>
      <c r="C29" s="48" t="s">
        <v>60</v>
      </c>
    </row>
    <row r="30" customFormat="false" ht="13.2" hidden="false" customHeight="false" outlineLevel="0" collapsed="false">
      <c r="A30" s="47" t="n">
        <v>11</v>
      </c>
      <c r="B30" s="37" t="s">
        <v>61</v>
      </c>
      <c r="J30" s="38" t="s">
        <v>62</v>
      </c>
      <c r="K30" s="39" t="n">
        <f aca="false">+'Schedule 5'!J14</f>
        <v>52153.1</v>
      </c>
      <c r="L30" s="39" t="n">
        <f aca="false">+'Schedule 5'!K14</f>
        <v>-22500</v>
      </c>
      <c r="M30" s="39" t="n">
        <f aca="false">+'Schedule 5'!L14</f>
        <v>29653.1</v>
      </c>
      <c r="N30" s="40" t="n">
        <f aca="false">+M30-L30=K30</f>
        <v>1</v>
      </c>
    </row>
    <row r="31" customFormat="false" ht="13.2" hidden="false" customHeight="false" outlineLevel="0" collapsed="false">
      <c r="A31" s="47"/>
      <c r="C31" s="48" t="s">
        <v>63</v>
      </c>
    </row>
    <row r="32" customFormat="false" ht="13.2" hidden="false" customHeight="false" outlineLevel="0" collapsed="false">
      <c r="A32" s="47" t="n">
        <v>12</v>
      </c>
      <c r="B32" s="37" t="s">
        <v>64</v>
      </c>
      <c r="C32" s="48"/>
      <c r="J32" s="38" t="s">
        <v>62</v>
      </c>
      <c r="K32" s="39" t="n">
        <v>1028</v>
      </c>
      <c r="L32" s="39" t="n">
        <f aca="false">+'Schedule 5'!K17</f>
        <v>0</v>
      </c>
      <c r="M32" s="39" t="n">
        <f aca="false">+'Schedule 5'!L17</f>
        <v>1028</v>
      </c>
      <c r="N32" s="40" t="n">
        <f aca="false">+M32-L32=K32</f>
        <v>1</v>
      </c>
    </row>
    <row r="33" customFormat="false" ht="13.2" hidden="false" customHeight="false" outlineLevel="0" collapsed="false">
      <c r="A33" s="47"/>
      <c r="C33" s="49" t="s">
        <v>65</v>
      </c>
    </row>
    <row r="34" customFormat="false" ht="13.2" hidden="false" customHeight="false" outlineLevel="0" collapsed="false">
      <c r="A34" s="47" t="n">
        <v>13</v>
      </c>
      <c r="B34" s="37" t="s">
        <v>66</v>
      </c>
      <c r="J34" s="38" t="s">
        <v>62</v>
      </c>
      <c r="K34" s="39" t="n">
        <f aca="false">+'Schedule 5'!J58</f>
        <v>108058.68</v>
      </c>
      <c r="L34" s="39" t="n">
        <f aca="false">+'Schedule 5'!K58</f>
        <v>-46602.625</v>
      </c>
      <c r="M34" s="39" t="n">
        <f aca="false">+'Schedule 5'!L58</f>
        <v>61456.055</v>
      </c>
      <c r="N34" s="40" t="n">
        <f aca="false">+M34-L34=K34</f>
        <v>1</v>
      </c>
    </row>
    <row r="35" customFormat="false" ht="13.2" hidden="false" customHeight="false" outlineLevel="0" collapsed="false">
      <c r="A35" s="47"/>
      <c r="C35" s="49" t="s">
        <v>67</v>
      </c>
    </row>
    <row r="36" customFormat="false" ht="13.2" hidden="false" customHeight="false" outlineLevel="0" collapsed="false">
      <c r="A36" s="47" t="n">
        <v>14</v>
      </c>
      <c r="B36" s="37" t="s">
        <v>68</v>
      </c>
      <c r="J36" s="38" t="s">
        <v>62</v>
      </c>
      <c r="K36" s="39" t="n">
        <f aca="false">+'Schedule 5'!J61</f>
        <v>0</v>
      </c>
      <c r="L36" s="39" t="n">
        <f aca="false">+'Schedule 5'!K61</f>
        <v>-0</v>
      </c>
      <c r="M36" s="39" t="n">
        <f aca="false">+'Schedule 5'!L61</f>
        <v>0</v>
      </c>
      <c r="N36" s="40" t="n">
        <f aca="false">+M36-L36=K36</f>
        <v>1</v>
      </c>
    </row>
    <row r="37" customFormat="false" ht="13.2" hidden="false" customHeight="false" outlineLevel="0" collapsed="false">
      <c r="A37" s="47"/>
      <c r="C37" s="49" t="s">
        <v>65</v>
      </c>
    </row>
    <row r="38" customFormat="false" ht="13.2" hidden="false" customHeight="false" outlineLevel="0" collapsed="false">
      <c r="A38" s="47" t="n">
        <v>15</v>
      </c>
      <c r="B38" s="37" t="s">
        <v>69</v>
      </c>
      <c r="J38" s="38" t="s">
        <v>62</v>
      </c>
      <c r="K38" s="39" t="n">
        <f aca="false">+'Schedule 5'!J63</f>
        <v>3900.88</v>
      </c>
      <c r="L38" s="39" t="n">
        <f aca="false">+'Schedule 5'!K63</f>
        <v>0</v>
      </c>
      <c r="M38" s="39" t="n">
        <f aca="false">+'Schedule 5'!L63</f>
        <v>3900.88</v>
      </c>
      <c r="N38" s="40" t="n">
        <f aca="false">+M38-L38=K38</f>
        <v>1</v>
      </c>
    </row>
    <row r="39" customFormat="false" ht="13.2" hidden="false" customHeight="false" outlineLevel="0" collapsed="false">
      <c r="A39" s="47"/>
      <c r="C39" s="48" t="s">
        <v>70</v>
      </c>
    </row>
    <row r="40" customFormat="false" ht="13.2" hidden="false" customHeight="false" outlineLevel="0" collapsed="false">
      <c r="A40" s="47" t="n">
        <v>16</v>
      </c>
      <c r="B40" s="50" t="s">
        <v>71</v>
      </c>
      <c r="J40" s="38" t="s">
        <v>62</v>
      </c>
      <c r="K40" s="39" t="n">
        <f aca="false">+'Schedule 5'!J65</f>
        <v>30069.75</v>
      </c>
      <c r="L40" s="39" t="n">
        <f aca="false">+'Schedule 5'!K65</f>
        <v>0</v>
      </c>
      <c r="M40" s="39" t="n">
        <f aca="false">+'Schedule 5'!L65</f>
        <v>30069.75</v>
      </c>
      <c r="N40" s="40" t="n">
        <f aca="false">+M40-L40=K40</f>
        <v>1</v>
      </c>
    </row>
    <row r="41" customFormat="false" ht="13.2" hidden="false" customHeight="false" outlineLevel="0" collapsed="false">
      <c r="A41" s="47"/>
      <c r="C41" s="48" t="s">
        <v>72</v>
      </c>
    </row>
    <row r="42" customFormat="false" ht="13.2" hidden="false" customHeight="false" outlineLevel="0" collapsed="false">
      <c r="A42" s="47" t="n">
        <v>17</v>
      </c>
      <c r="B42" s="37" t="s">
        <v>73</v>
      </c>
      <c r="J42" s="38" t="s">
        <v>62</v>
      </c>
      <c r="K42" s="39" t="n">
        <f aca="false">+'Schedule 5'!J67</f>
        <v>0</v>
      </c>
      <c r="L42" s="39" t="n">
        <f aca="false">+'Schedule 5'!K67</f>
        <v>-0</v>
      </c>
      <c r="M42" s="39" t="n">
        <f aca="false">+'Schedule 5'!L67</f>
        <v>0</v>
      </c>
      <c r="N42" s="40" t="n">
        <f aca="false">+M42-L42=K42</f>
        <v>1</v>
      </c>
    </row>
    <row r="43" customFormat="false" ht="13.2" hidden="false" customHeight="false" outlineLevel="0" collapsed="false">
      <c r="A43" s="47"/>
      <c r="C43" s="48" t="s">
        <v>74</v>
      </c>
    </row>
    <row r="44" customFormat="false" ht="13.2" hidden="false" customHeight="false" outlineLevel="0" collapsed="false">
      <c r="A44" s="47" t="n">
        <v>18</v>
      </c>
      <c r="B44" s="37" t="s">
        <v>75</v>
      </c>
      <c r="J44" s="38" t="s">
        <v>62</v>
      </c>
      <c r="K44" s="39" t="n">
        <f aca="false">+'Schedule 5'!J69</f>
        <v>0</v>
      </c>
      <c r="L44" s="39" t="n">
        <f aca="false">+'Schedule 5'!K69</f>
        <v>0</v>
      </c>
      <c r="M44" s="39" t="n">
        <f aca="false">+'Schedule 5'!L69</f>
        <v>0</v>
      </c>
      <c r="N44" s="40" t="n">
        <f aca="false">+M44-L44=K44</f>
        <v>1</v>
      </c>
    </row>
    <row r="45" customFormat="false" ht="13.2" hidden="false" customHeight="false" outlineLevel="0" collapsed="false">
      <c r="A45" s="47"/>
      <c r="C45" s="48" t="s">
        <v>76</v>
      </c>
    </row>
    <row r="46" customFormat="false" ht="13.2" hidden="false" customHeight="false" outlineLevel="0" collapsed="false">
      <c r="A46" s="47" t="n">
        <v>19</v>
      </c>
      <c r="B46" s="37" t="s">
        <v>77</v>
      </c>
      <c r="J46" s="38" t="s">
        <v>62</v>
      </c>
      <c r="K46" s="39" t="n">
        <f aca="false">+'Schedule 5'!J71</f>
        <v>680</v>
      </c>
      <c r="L46" s="39" t="n">
        <f aca="false">+'Schedule 5'!K71</f>
        <v>0</v>
      </c>
      <c r="M46" s="39" t="n">
        <f aca="false">+'Schedule 5'!L71</f>
        <v>680</v>
      </c>
      <c r="N46" s="40" t="n">
        <f aca="false">+M46-L46=K46</f>
        <v>1</v>
      </c>
    </row>
    <row r="47" customFormat="false" ht="13.2" hidden="false" customHeight="false" outlineLevel="0" collapsed="false">
      <c r="A47" s="47"/>
      <c r="C47" s="51" t="s">
        <v>78</v>
      </c>
    </row>
    <row r="48" customFormat="false" ht="13.2" hidden="false" customHeight="false" outlineLevel="0" collapsed="false">
      <c r="A48" s="47" t="n">
        <v>20</v>
      </c>
      <c r="B48" s="37" t="s">
        <v>79</v>
      </c>
      <c r="J48" s="38" t="s">
        <v>62</v>
      </c>
      <c r="K48" s="39" t="n">
        <v>3817</v>
      </c>
      <c r="L48" s="39" t="n">
        <f aca="false">+'Schedule 5'!K73</f>
        <v>-3817</v>
      </c>
      <c r="M48" s="39" t="n">
        <f aca="false">+'Schedule 5'!L73</f>
        <v>0</v>
      </c>
      <c r="N48" s="40" t="n">
        <f aca="false">+M48-L48=K48</f>
        <v>1</v>
      </c>
    </row>
    <row r="49" customFormat="false" ht="13.2" hidden="false" customHeight="false" outlineLevel="0" collapsed="false">
      <c r="A49" s="47"/>
      <c r="C49" s="48" t="s">
        <v>80</v>
      </c>
    </row>
    <row r="50" customFormat="false" ht="4.2" hidden="false" customHeight="true" outlineLevel="0" collapsed="false">
      <c r="A50" s="47"/>
      <c r="C50" s="48"/>
      <c r="K50" s="52"/>
      <c r="L50" s="52"/>
      <c r="M50" s="52"/>
    </row>
    <row r="51" customFormat="false" ht="13.2" hidden="false" customHeight="false" outlineLevel="0" collapsed="false">
      <c r="A51" s="47"/>
      <c r="D51" s="53" t="s">
        <v>81</v>
      </c>
      <c r="K51" s="39" t="n">
        <f aca="false">SUM(K4:K50)</f>
        <v>6212577.54</v>
      </c>
      <c r="L51" s="39" t="n">
        <f aca="false">SUM(L4:L50)</f>
        <v>-3488310.58242161</v>
      </c>
      <c r="M51" s="39" t="n">
        <f aca="false">SUM(M4:M50)</f>
        <v>2724266.95757839</v>
      </c>
      <c r="N51" s="40" t="n">
        <f aca="false">+M51-L51=K51</f>
        <v>1</v>
      </c>
    </row>
    <row r="52" customFormat="false" ht="13.2" hidden="false" customHeight="false" outlineLevel="0" collapsed="false">
      <c r="A52" s="47"/>
      <c r="J52" s="39"/>
      <c r="L52" s="54" t="s">
        <v>82</v>
      </c>
      <c r="M52" s="55" t="n">
        <f aca="false">+K51=M51-L51</f>
        <v>1</v>
      </c>
    </row>
    <row r="53" customFormat="false" ht="13.2" hidden="false" customHeight="false" outlineLevel="0" collapsed="false">
      <c r="A53" s="47"/>
    </row>
    <row r="54" customFormat="false" ht="13.2" hidden="false" customHeight="true" outlineLevel="0" collapsed="false">
      <c r="A54" s="47"/>
      <c r="K54" s="56"/>
      <c r="L54" s="56"/>
      <c r="M54" s="56"/>
    </row>
    <row r="55" customFormat="false" ht="13.2" hidden="false" customHeight="false" outlineLevel="0" collapsed="false">
      <c r="A55" s="47"/>
    </row>
    <row r="56" customFormat="false" ht="13.2" hidden="false" customHeight="false" outlineLevel="0" collapsed="false">
      <c r="A56" s="47"/>
    </row>
    <row r="57" customFormat="false" ht="13.2" hidden="false" customHeight="false" outlineLevel="0" collapsed="false">
      <c r="A57" s="47"/>
    </row>
    <row r="58" customFormat="false" ht="13.2" hidden="false" customHeight="false" outlineLevel="0" collapsed="false">
      <c r="A58" s="47"/>
    </row>
    <row r="59" customFormat="false" ht="13.2" hidden="false" customHeight="false" outlineLevel="0" collapsed="false">
      <c r="A59" s="47"/>
    </row>
    <row r="60" customFormat="false" ht="13.2" hidden="false" customHeight="false" outlineLevel="0" collapsed="false">
      <c r="A60" s="47"/>
    </row>
    <row r="61" customFormat="false" ht="13.2" hidden="false" customHeight="false" outlineLevel="0" collapsed="false">
      <c r="A61" s="47"/>
    </row>
  </sheetData>
  <printOptions headings="false" gridLines="false" gridLinesSet="true" horizontalCentered="false" verticalCentered="false"/>
  <pageMargins left="0.170138888888889" right="0.190277777777778" top="0.420138888888889" bottom="0.4" header="0.2" footer="0.170138888888889"/>
  <pageSetup paperSize="1" scale="100" fitToWidth="1" fitToHeight="1" pageOrder="downThenOver" orientation="portrait" blackAndWhite="false" draft="false" cellComments="none" horizontalDpi="300" verticalDpi="300" copies="1"/>
  <headerFooter differentFirst="false" differentOddEven="false">
    <oddHeader>&amp;L&amp;"Arial,Bold"&amp;12Doyle Power, LCC - Principal Insured&amp;RThru: &amp;D
Page &amp;P</oddHeader>
    <oddFooter>&amp;L&amp;F&amp;R&amp;A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59"/>
  <sheetViews>
    <sheetView showFormulas="false" showGridLines="true" showRowColHeaders="true" showZeros="true" rightToLeft="false" tabSelected="false" showOutlineSymbols="true" defaultGridColor="true" view="pageBreakPreview" topLeftCell="A1" colorId="64" zoomScale="75" zoomScaleNormal="75" zoomScalePageLayoutView="75" workbookViewId="0">
      <selection pane="topLeft" activeCell="A1" activeCellId="0" sqref="A1"/>
    </sheetView>
  </sheetViews>
  <sheetFormatPr defaultColWidth="10.328125" defaultRowHeight="13.2" customHeight="true" zeroHeight="false" outlineLevelRow="0" outlineLevelCol="0"/>
  <cols>
    <col collapsed="false" customWidth="true" hidden="false" outlineLevel="0" max="1" min="1" style="37" width="3.66"/>
    <col collapsed="false" customWidth="true" hidden="false" outlineLevel="0" max="2" min="2" style="37" width="2.32"/>
    <col collapsed="false" customWidth="true" hidden="false" outlineLevel="0" max="7" min="3" style="37" width="5.99"/>
    <col collapsed="false" customWidth="true" hidden="false" outlineLevel="0" max="8" min="8" style="38" width="2.55"/>
    <col collapsed="false" customWidth="true" hidden="false" outlineLevel="0" max="9" min="9" style="38" width="15.1"/>
    <col collapsed="false" customWidth="true" hidden="false" outlineLevel="0" max="10" min="10" style="38" width="17.21"/>
    <col collapsed="false" customWidth="true" hidden="false" outlineLevel="0" max="11" min="11" style="39" width="20.21"/>
    <col collapsed="false" customWidth="true" hidden="false" outlineLevel="0" max="12" min="12" style="39" width="16.99"/>
    <col collapsed="false" customWidth="true" hidden="false" outlineLevel="0" max="13" min="13" style="39" width="15.32"/>
    <col collapsed="false" customWidth="true" hidden="false" outlineLevel="0" max="14" min="14" style="40" width="0.21"/>
    <col collapsed="false" customWidth="false" hidden="false" outlineLevel="0" max="257" min="15" style="38" width="10.32"/>
  </cols>
  <sheetData>
    <row r="1" customFormat="false" ht="15.6" hidden="false" customHeight="false" outlineLevel="0" collapsed="false">
      <c r="B1" s="41" t="s">
        <v>14</v>
      </c>
      <c r="D1" s="41"/>
      <c r="E1" s="41"/>
      <c r="F1" s="41"/>
      <c r="G1" s="41"/>
      <c r="H1" s="41"/>
      <c r="J1" s="42"/>
    </row>
    <row r="2" customFormat="false" ht="13.2" hidden="false" customHeight="false" outlineLevel="0" collapsed="false">
      <c r="B2" s="38" t="s">
        <v>83</v>
      </c>
      <c r="C2" s="38"/>
      <c r="D2" s="38"/>
      <c r="E2" s="38"/>
      <c r="F2" s="38"/>
      <c r="G2" s="38"/>
      <c r="K2" s="38"/>
      <c r="L2" s="38"/>
      <c r="M2" s="38"/>
    </row>
    <row r="3" customFormat="false" ht="13.2" hidden="false" customHeight="false" outlineLevel="0" collapsed="false">
      <c r="B3" s="38" t="s">
        <v>84</v>
      </c>
      <c r="C3" s="38"/>
      <c r="D3" s="38"/>
      <c r="E3" s="38"/>
      <c r="F3" s="38"/>
      <c r="G3" s="38"/>
      <c r="K3" s="38"/>
      <c r="L3" s="38"/>
      <c r="M3" s="38"/>
    </row>
    <row r="4" customFormat="false" ht="56.4" hidden="false" customHeight="true" outlineLevel="0" collapsed="false">
      <c r="B4" s="37" t="s">
        <v>85</v>
      </c>
      <c r="C4" s="57" t="s">
        <v>86</v>
      </c>
      <c r="D4" s="57"/>
      <c r="E4" s="57"/>
      <c r="F4" s="57"/>
      <c r="G4" s="57"/>
      <c r="H4" s="57"/>
      <c r="I4" s="57"/>
      <c r="J4" s="57"/>
      <c r="K4" s="57"/>
      <c r="L4" s="57"/>
      <c r="M4" s="57"/>
    </row>
    <row r="5" customFormat="false" ht="30" hidden="false" customHeight="true" outlineLevel="0" collapsed="false">
      <c r="C5" s="57" t="s">
        <v>87</v>
      </c>
      <c r="D5" s="57"/>
      <c r="E5" s="57"/>
      <c r="F5" s="57"/>
      <c r="G5" s="57"/>
      <c r="H5" s="57"/>
      <c r="I5" s="57"/>
      <c r="J5" s="57"/>
      <c r="K5" s="57"/>
      <c r="L5" s="57"/>
      <c r="M5" s="57"/>
    </row>
    <row r="6" customFormat="false" ht="34.8" hidden="false" customHeight="true" outlineLevel="0" collapsed="false">
      <c r="A6" s="43" t="s">
        <v>6</v>
      </c>
      <c r="B6" s="43"/>
      <c r="C6" s="43" t="s">
        <v>26</v>
      </c>
      <c r="D6" s="43"/>
      <c r="E6" s="43"/>
      <c r="F6" s="43"/>
      <c r="G6" s="44"/>
      <c r="H6" s="44"/>
      <c r="I6" s="41"/>
      <c r="J6" s="41" t="s">
        <v>27</v>
      </c>
      <c r="K6" s="58" t="s">
        <v>88</v>
      </c>
      <c r="L6" s="45" t="s">
        <v>29</v>
      </c>
      <c r="M6" s="45" t="s">
        <v>89</v>
      </c>
      <c r="N6" s="46"/>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c r="IV6" s="41"/>
      <c r="IW6" s="41"/>
    </row>
    <row r="7" customFormat="false" ht="13.2" hidden="false" customHeight="false" outlineLevel="0" collapsed="false">
      <c r="A7" s="47" t="n">
        <v>1</v>
      </c>
      <c r="B7" s="37" t="s">
        <v>31</v>
      </c>
      <c r="J7" s="59" t="s">
        <v>90</v>
      </c>
      <c r="K7" s="39" t="n">
        <f aca="false">+'Work Summary'!M4</f>
        <v>795116.56927331</v>
      </c>
      <c r="N7" s="40" t="n">
        <f aca="false">+M8-L8=K7</f>
        <v>1</v>
      </c>
    </row>
    <row r="8" customFormat="false" ht="13.2" hidden="false" customHeight="false" outlineLevel="0" collapsed="false">
      <c r="A8" s="47"/>
      <c r="C8" s="48" t="s">
        <v>91</v>
      </c>
      <c r="L8" s="39" t="n">
        <f aca="false">-'Schedule 1 (L)'!K297</f>
        <v>-182364.875</v>
      </c>
      <c r="M8" s="39" t="n">
        <f aca="false">+K7+L8</f>
        <v>612751.69427331</v>
      </c>
    </row>
    <row r="9" customFormat="false" ht="13.2" hidden="false" customHeight="false" outlineLevel="0" collapsed="false">
      <c r="A9" s="47"/>
      <c r="C9" s="48" t="s">
        <v>92</v>
      </c>
      <c r="I9" s="60" t="n">
        <f aca="false">+M8/'Work Summary'!K4</f>
        <v>0.552576440407292</v>
      </c>
    </row>
    <row r="10" customFormat="false" ht="13.2" hidden="false" customHeight="false" outlineLevel="0" collapsed="false">
      <c r="A10" s="47" t="n">
        <v>2</v>
      </c>
      <c r="B10" s="37" t="s">
        <v>35</v>
      </c>
      <c r="J10" s="38" t="s">
        <v>36</v>
      </c>
      <c r="K10" s="39" t="n">
        <f aca="false">+'Work Summary'!M7</f>
        <v>574889.074235294</v>
      </c>
      <c r="N10" s="40" t="n">
        <f aca="false">+M10-L10=K10</f>
        <v>0</v>
      </c>
    </row>
    <row r="11" customFormat="false" ht="13.2" hidden="false" customHeight="false" outlineLevel="0" collapsed="false">
      <c r="A11" s="47"/>
      <c r="C11" s="48" t="s">
        <v>93</v>
      </c>
      <c r="L11" s="39" t="n">
        <v>-1261</v>
      </c>
      <c r="M11" s="39" t="n">
        <f aca="false">+K10+L11</f>
        <v>573628.074235294</v>
      </c>
    </row>
    <row r="12" customFormat="false" ht="13.2" hidden="false" customHeight="false" outlineLevel="0" collapsed="false">
      <c r="A12" s="47" t="n">
        <v>3</v>
      </c>
      <c r="B12" s="37" t="s">
        <v>38</v>
      </c>
      <c r="J12" s="38" t="s">
        <v>36</v>
      </c>
      <c r="K12" s="39" t="n">
        <f aca="false">+'Work Summary'!M9</f>
        <v>7392</v>
      </c>
      <c r="M12" s="39" t="n">
        <f aca="false">+'Schedule 2'!P40</f>
        <v>7392</v>
      </c>
      <c r="N12" s="40" t="n">
        <f aca="false">+M12-L12=K12</f>
        <v>1</v>
      </c>
    </row>
    <row r="13" customFormat="false" ht="13.2" hidden="false" customHeight="false" outlineLevel="0" collapsed="false">
      <c r="A13" s="47"/>
      <c r="C13" s="48" t="s">
        <v>39</v>
      </c>
    </row>
    <row r="14" customFormat="false" ht="13.2" hidden="false" customHeight="false" outlineLevel="0" collapsed="false">
      <c r="A14" s="47" t="n">
        <v>4</v>
      </c>
      <c r="B14" s="37" t="s">
        <v>40</v>
      </c>
      <c r="J14" s="38" t="s">
        <v>36</v>
      </c>
      <c r="K14" s="39" t="n">
        <f aca="false">+'Work Summary'!M11</f>
        <v>352033.39</v>
      </c>
      <c r="N14" s="40" t="n">
        <f aca="false">+M14-L14=K14</f>
        <v>0</v>
      </c>
    </row>
    <row r="15" customFormat="false" ht="13.2" hidden="false" customHeight="false" outlineLevel="0" collapsed="false">
      <c r="A15" s="47"/>
      <c r="C15" s="48" t="s">
        <v>94</v>
      </c>
      <c r="L15" s="39" t="n">
        <v>-15000</v>
      </c>
      <c r="M15" s="39" t="n">
        <f aca="false">+L15+K14</f>
        <v>337033.39</v>
      </c>
    </row>
    <row r="16" customFormat="false" ht="13.2" hidden="false" customHeight="false" outlineLevel="0" collapsed="false">
      <c r="A16" s="47"/>
      <c r="C16" s="48"/>
    </row>
    <row r="17" customFormat="false" ht="13.2" hidden="false" customHeight="false" outlineLevel="0" collapsed="false">
      <c r="A17" s="47" t="n">
        <v>5</v>
      </c>
      <c r="B17" s="37" t="s">
        <v>43</v>
      </c>
      <c r="J17" s="38" t="s">
        <v>36</v>
      </c>
      <c r="K17" s="39" t="n">
        <f aca="false">+'Work Summary'!M14</f>
        <v>18507.78</v>
      </c>
      <c r="L17" s="39" t="n">
        <v>0</v>
      </c>
      <c r="M17" s="39" t="n">
        <f aca="false">+'Schedule 2'!P85</f>
        <v>18507.78</v>
      </c>
      <c r="N17" s="40" t="n">
        <f aca="false">+M17-L17=K17</f>
        <v>1</v>
      </c>
    </row>
    <row r="18" customFormat="false" ht="13.2" hidden="false" customHeight="false" outlineLevel="0" collapsed="false">
      <c r="A18" s="47"/>
      <c r="C18" s="48" t="s">
        <v>44</v>
      </c>
    </row>
    <row r="19" customFormat="false" ht="13.2" hidden="false" customHeight="false" outlineLevel="0" collapsed="false">
      <c r="A19" s="47" t="n">
        <v>6</v>
      </c>
      <c r="B19" s="37" t="s">
        <v>45</v>
      </c>
      <c r="J19" s="38" t="s">
        <v>36</v>
      </c>
      <c r="K19" s="39" t="n">
        <f aca="false">+'Work Summary'!M16</f>
        <v>19841.29</v>
      </c>
      <c r="L19" s="39" t="n">
        <v>0</v>
      </c>
      <c r="M19" s="39" t="n">
        <f aca="false">+'Schedule 2'!P118</f>
        <v>19841.29</v>
      </c>
      <c r="N19" s="40" t="n">
        <f aca="false">+M19-L19=K19</f>
        <v>1</v>
      </c>
    </row>
    <row r="20" customFormat="false" ht="13.2" hidden="false" customHeight="false" outlineLevel="0" collapsed="false">
      <c r="A20" s="47"/>
      <c r="C20" s="48" t="s">
        <v>46</v>
      </c>
    </row>
    <row r="21" customFormat="false" ht="13.2" hidden="false" customHeight="false" outlineLevel="0" collapsed="false">
      <c r="A21" s="47"/>
      <c r="C21" s="48" t="s">
        <v>95</v>
      </c>
    </row>
    <row r="22" customFormat="false" ht="13.2" hidden="false" customHeight="false" outlineLevel="0" collapsed="false">
      <c r="A22" s="47"/>
      <c r="C22" s="48" t="s">
        <v>48</v>
      </c>
    </row>
    <row r="23" customFormat="false" ht="13.2" hidden="false" customHeight="false" outlineLevel="0" collapsed="false">
      <c r="A23" s="47" t="n">
        <v>7</v>
      </c>
      <c r="B23" s="37" t="s">
        <v>49</v>
      </c>
      <c r="J23" s="38" t="s">
        <v>36</v>
      </c>
      <c r="K23" s="39" t="n">
        <f aca="false">+'Work Summary'!M20</f>
        <v>35808.78</v>
      </c>
      <c r="L23" s="39" t="n">
        <v>0</v>
      </c>
      <c r="M23" s="39" t="n">
        <f aca="false">+'Schedule 2'!P132</f>
        <v>35808.78</v>
      </c>
      <c r="N23" s="40" t="n">
        <f aca="false">+M23-L23=K23</f>
        <v>1</v>
      </c>
    </row>
    <row r="24" customFormat="false" ht="13.2" hidden="false" customHeight="false" outlineLevel="0" collapsed="false">
      <c r="A24" s="47"/>
      <c r="C24" s="48" t="s">
        <v>50</v>
      </c>
    </row>
    <row r="25" customFormat="false" ht="13.2" hidden="false" customHeight="false" outlineLevel="0" collapsed="false">
      <c r="A25" s="47" t="n">
        <v>8</v>
      </c>
      <c r="B25" s="37" t="s">
        <v>51</v>
      </c>
      <c r="J25" s="38" t="s">
        <v>52</v>
      </c>
      <c r="K25" s="39" t="n">
        <f aca="false">+'Work Summary'!M22</f>
        <v>530398.764069787</v>
      </c>
      <c r="L25" s="39" t="n">
        <f aca="false">-'Schedule 3'!N108</f>
        <v>-135554.746624894</v>
      </c>
      <c r="M25" s="39" t="n">
        <f aca="false">+K25+L25</f>
        <v>394844.017444894</v>
      </c>
      <c r="N25" s="40" t="n">
        <f aca="false">+M25-L25=K25</f>
        <v>1</v>
      </c>
    </row>
    <row r="26" customFormat="false" ht="13.2" hidden="false" customHeight="false" outlineLevel="0" collapsed="false">
      <c r="A26" s="47"/>
      <c r="C26" s="48" t="s">
        <v>96</v>
      </c>
    </row>
    <row r="27" customFormat="false" ht="13.2" hidden="false" customHeight="false" outlineLevel="0" collapsed="false">
      <c r="A27" s="47" t="n">
        <v>9</v>
      </c>
      <c r="B27" s="37" t="s">
        <v>54</v>
      </c>
      <c r="J27" s="38" t="s">
        <v>36</v>
      </c>
      <c r="K27" s="39" t="n">
        <v>0</v>
      </c>
      <c r="L27" s="39" t="n">
        <v>0</v>
      </c>
      <c r="M27" s="39" t="n">
        <f aca="false">+'Schedule 2'!P143</f>
        <v>0</v>
      </c>
      <c r="N27" s="40" t="n">
        <f aca="false">+M27-L27=K27</f>
        <v>1</v>
      </c>
    </row>
    <row r="28" customFormat="false" ht="13.2" hidden="false" customHeight="false" outlineLevel="0" collapsed="false">
      <c r="A28" s="47"/>
      <c r="C28" s="48" t="s">
        <v>55</v>
      </c>
    </row>
    <row r="29" customFormat="false" ht="13.2" hidden="false" customHeight="false" outlineLevel="0" collapsed="false">
      <c r="A29" s="47" t="n">
        <v>10</v>
      </c>
      <c r="B29" s="37" t="s">
        <v>56</v>
      </c>
      <c r="J29" s="38" t="s">
        <v>57</v>
      </c>
      <c r="K29" s="39" t="n">
        <f aca="false">+'Work Summary'!M26</f>
        <v>263491.525</v>
      </c>
      <c r="N29" s="40" t="n">
        <f aca="false">+M29-L29=K29</f>
        <v>0</v>
      </c>
    </row>
    <row r="30" customFormat="false" ht="13.2" hidden="false" customHeight="false" outlineLevel="0" collapsed="false">
      <c r="A30" s="47"/>
      <c r="C30" s="48" t="s">
        <v>97</v>
      </c>
      <c r="L30" s="39" t="n">
        <f aca="false">+K29*-0.25</f>
        <v>-65872.88125</v>
      </c>
      <c r="M30" s="39" t="n">
        <f aca="false">+L30+K29</f>
        <v>197618.64375</v>
      </c>
    </row>
    <row r="31" customFormat="false" ht="13.2" hidden="false" customHeight="false" outlineLevel="0" collapsed="false">
      <c r="A31" s="47" t="n">
        <v>11</v>
      </c>
      <c r="B31" s="37" t="s">
        <v>61</v>
      </c>
      <c r="J31" s="38" t="s">
        <v>62</v>
      </c>
      <c r="K31" s="39" t="n">
        <f aca="false">+'Work Summary'!M30</f>
        <v>29653.1</v>
      </c>
      <c r="N31" s="40" t="n">
        <f aca="false">+M31-L31=K31</f>
        <v>0</v>
      </c>
    </row>
    <row r="32" customFormat="false" ht="13.2" hidden="false" customHeight="false" outlineLevel="0" collapsed="false">
      <c r="A32" s="47"/>
      <c r="C32" s="48" t="s">
        <v>63</v>
      </c>
    </row>
    <row r="33" customFormat="false" ht="13.2" hidden="false" customHeight="false" outlineLevel="0" collapsed="false">
      <c r="A33" s="47"/>
      <c r="C33" s="48" t="s">
        <v>97</v>
      </c>
      <c r="L33" s="39" t="n">
        <f aca="false">+K31*-0.25</f>
        <v>-7413.275</v>
      </c>
      <c r="M33" s="39" t="n">
        <f aca="false">+K31+L33</f>
        <v>22239.825</v>
      </c>
    </row>
    <row r="34" customFormat="false" ht="20.4" hidden="false" customHeight="true" outlineLevel="0" collapsed="false">
      <c r="A34" s="61" t="n">
        <v>12</v>
      </c>
      <c r="B34" s="62" t="s">
        <v>64</v>
      </c>
      <c r="C34" s="63"/>
      <c r="D34" s="62"/>
      <c r="E34" s="62"/>
      <c r="F34" s="62"/>
      <c r="G34" s="62"/>
      <c r="H34" s="64"/>
      <c r="I34" s="64"/>
      <c r="J34" s="64" t="s">
        <v>62</v>
      </c>
      <c r="K34" s="65" t="n">
        <f aca="false">+'Work Summary'!M32</f>
        <v>1028</v>
      </c>
      <c r="L34" s="65" t="n">
        <v>0</v>
      </c>
      <c r="M34" s="65" t="n">
        <f aca="false">+'Schedule 5'!L17</f>
        <v>1028</v>
      </c>
      <c r="N34" s="66" t="n">
        <f aca="false">+M34-L34=K34</f>
        <v>1</v>
      </c>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c r="EO34" s="64"/>
      <c r="EP34" s="64"/>
      <c r="EQ34" s="64"/>
      <c r="ER34" s="64"/>
      <c r="ES34" s="64"/>
      <c r="ET34" s="64"/>
      <c r="EU34" s="64"/>
      <c r="EV34" s="64"/>
      <c r="EW34" s="64"/>
      <c r="EX34" s="64"/>
      <c r="EY34" s="64"/>
      <c r="EZ34" s="64"/>
      <c r="FA34" s="64"/>
      <c r="FB34" s="64"/>
      <c r="FC34" s="64"/>
      <c r="FD34" s="64"/>
      <c r="FE34" s="64"/>
      <c r="FF34" s="64"/>
      <c r="FG34" s="64"/>
      <c r="FH34" s="64"/>
      <c r="FI34" s="64"/>
      <c r="FJ34" s="64"/>
      <c r="FK34" s="64"/>
      <c r="FL34" s="64"/>
      <c r="FM34" s="64"/>
      <c r="FN34" s="64"/>
      <c r="FO34" s="64"/>
      <c r="FP34" s="64"/>
      <c r="FQ34" s="64"/>
      <c r="FR34" s="64"/>
      <c r="FS34" s="64"/>
      <c r="FT34" s="64"/>
      <c r="FU34" s="64"/>
      <c r="FV34" s="64"/>
      <c r="FW34" s="64"/>
      <c r="FX34" s="64"/>
      <c r="FY34" s="64"/>
      <c r="FZ34" s="64"/>
      <c r="GA34" s="64"/>
      <c r="GB34" s="64"/>
      <c r="GC34" s="64"/>
      <c r="GD34" s="64"/>
      <c r="GE34" s="64"/>
      <c r="GF34" s="64"/>
      <c r="GG34" s="64"/>
      <c r="GH34" s="64"/>
      <c r="GI34" s="64"/>
      <c r="GJ34" s="64"/>
      <c r="GK34" s="64"/>
      <c r="GL34" s="64"/>
      <c r="GM34" s="64"/>
      <c r="GN34" s="64"/>
      <c r="GO34" s="64"/>
      <c r="GP34" s="64"/>
      <c r="GQ34" s="64"/>
      <c r="GR34" s="64"/>
      <c r="GS34" s="64"/>
      <c r="GT34" s="64"/>
      <c r="GU34" s="64"/>
      <c r="GV34" s="64"/>
      <c r="GW34" s="64"/>
      <c r="GX34" s="64"/>
      <c r="GY34" s="64"/>
      <c r="GZ34" s="64"/>
      <c r="HA34" s="64"/>
      <c r="HB34" s="64"/>
      <c r="HC34" s="64"/>
      <c r="HD34" s="64"/>
      <c r="HE34" s="64"/>
      <c r="HF34" s="64"/>
      <c r="HG34" s="64"/>
      <c r="HH34" s="64"/>
      <c r="HI34" s="64"/>
      <c r="HJ34" s="64"/>
      <c r="HK34" s="64"/>
      <c r="HL34" s="64"/>
      <c r="HM34" s="64"/>
      <c r="HN34" s="64"/>
      <c r="HO34" s="64"/>
      <c r="HP34" s="64"/>
      <c r="HQ34" s="64"/>
      <c r="HR34" s="64"/>
      <c r="HS34" s="64"/>
      <c r="HT34" s="64"/>
      <c r="HU34" s="64"/>
      <c r="HV34" s="64"/>
      <c r="HW34" s="64"/>
      <c r="HX34" s="64"/>
      <c r="HY34" s="64"/>
      <c r="HZ34" s="64"/>
      <c r="IA34" s="64"/>
      <c r="IB34" s="64"/>
      <c r="IC34" s="64"/>
      <c r="ID34" s="64"/>
      <c r="IE34" s="64"/>
      <c r="IF34" s="64"/>
      <c r="IG34" s="64"/>
      <c r="IH34" s="64"/>
      <c r="II34" s="64"/>
      <c r="IJ34" s="64"/>
      <c r="IK34" s="64"/>
      <c r="IL34" s="64"/>
      <c r="IM34" s="64"/>
      <c r="IN34" s="64"/>
      <c r="IO34" s="64"/>
      <c r="IP34" s="64"/>
      <c r="IQ34" s="64"/>
      <c r="IR34" s="64"/>
      <c r="IS34" s="64"/>
      <c r="IT34" s="64"/>
      <c r="IU34" s="64"/>
      <c r="IV34" s="64"/>
      <c r="IW34" s="64"/>
    </row>
    <row r="35" customFormat="false" ht="13.2" hidden="false" customHeight="false" outlineLevel="0" collapsed="false">
      <c r="A35" s="47"/>
      <c r="C35" s="49" t="s">
        <v>65</v>
      </c>
    </row>
    <row r="36" customFormat="false" ht="13.2" hidden="false" customHeight="false" outlineLevel="0" collapsed="false">
      <c r="A36" s="47" t="n">
        <v>13</v>
      </c>
      <c r="B36" s="37" t="s">
        <v>66</v>
      </c>
      <c r="J36" s="38" t="s">
        <v>62</v>
      </c>
      <c r="K36" s="39" t="n">
        <f aca="false">+'Work Summary'!M34</f>
        <v>61456.055</v>
      </c>
      <c r="N36" s="40" t="n">
        <f aca="false">+M36-L36=K36</f>
        <v>0</v>
      </c>
    </row>
    <row r="37" customFormat="false" ht="13.2" hidden="false" customHeight="false" outlineLevel="0" collapsed="false">
      <c r="A37" s="47"/>
      <c r="C37" s="49" t="s">
        <v>67</v>
      </c>
    </row>
    <row r="38" customFormat="false" ht="13.2" hidden="false" customHeight="false" outlineLevel="0" collapsed="false">
      <c r="A38" s="47"/>
      <c r="C38" s="48" t="s">
        <v>97</v>
      </c>
      <c r="L38" s="39" t="n">
        <f aca="false">+K36*-0.25</f>
        <v>-15364.01375</v>
      </c>
      <c r="M38" s="39" t="n">
        <f aca="false">+K36+L38</f>
        <v>46092.04125</v>
      </c>
    </row>
    <row r="39" customFormat="false" ht="13.2" hidden="false" customHeight="false" outlineLevel="0" collapsed="false">
      <c r="A39" s="47" t="n">
        <v>14</v>
      </c>
      <c r="B39" s="37" t="s">
        <v>68</v>
      </c>
      <c r="J39" s="38" t="s">
        <v>62</v>
      </c>
      <c r="K39" s="39" t="n">
        <f aca="false">+'Work Summary'!M36</f>
        <v>0</v>
      </c>
      <c r="M39" s="39" t="n">
        <f aca="false">+'Schedule 5'!L61</f>
        <v>0</v>
      </c>
      <c r="N39" s="40" t="n">
        <f aca="false">+M39-L39=K39</f>
        <v>1</v>
      </c>
    </row>
    <row r="40" customFormat="false" ht="13.2" hidden="false" customHeight="false" outlineLevel="0" collapsed="false">
      <c r="A40" s="47" t="n">
        <v>15</v>
      </c>
      <c r="B40" s="37" t="s">
        <v>69</v>
      </c>
      <c r="J40" s="38" t="s">
        <v>62</v>
      </c>
      <c r="K40" s="39" t="n">
        <f aca="false">+'Work Summary'!M38</f>
        <v>3900.88</v>
      </c>
      <c r="M40" s="39" t="n">
        <f aca="false">+'Schedule 5'!L63</f>
        <v>3900.88</v>
      </c>
      <c r="N40" s="40" t="n">
        <f aca="false">+M40-L40=K40</f>
        <v>1</v>
      </c>
    </row>
    <row r="41" customFormat="false" ht="13.2" hidden="false" customHeight="false" outlineLevel="0" collapsed="false">
      <c r="A41" s="47"/>
      <c r="C41" s="48" t="s">
        <v>70</v>
      </c>
    </row>
    <row r="42" customFormat="false" ht="13.2" hidden="false" customHeight="false" outlineLevel="0" collapsed="false">
      <c r="A42" s="47" t="n">
        <v>16</v>
      </c>
      <c r="B42" s="50" t="s">
        <v>71</v>
      </c>
      <c r="J42" s="38" t="s">
        <v>62</v>
      </c>
      <c r="K42" s="39" t="n">
        <f aca="false">+'Work Summary'!M40</f>
        <v>30069.75</v>
      </c>
      <c r="N42" s="40" t="n">
        <f aca="false">+M42-L42=K42</f>
        <v>0</v>
      </c>
    </row>
    <row r="43" customFormat="false" ht="13.2" hidden="false" customHeight="false" outlineLevel="0" collapsed="false">
      <c r="A43" s="47"/>
      <c r="B43" s="50"/>
      <c r="C43" s="48" t="s">
        <v>98</v>
      </c>
      <c r="L43" s="39" t="n">
        <f aca="false">-K42*0.5</f>
        <v>-15034.875</v>
      </c>
      <c r="M43" s="39" t="n">
        <f aca="false">+K42+L43</f>
        <v>15034.875</v>
      </c>
    </row>
    <row r="44" customFormat="false" ht="13.2" hidden="false" customHeight="false" outlineLevel="0" collapsed="false">
      <c r="A44" s="47" t="n">
        <v>17</v>
      </c>
      <c r="B44" s="37" t="s">
        <v>73</v>
      </c>
      <c r="J44" s="38" t="s">
        <v>62</v>
      </c>
      <c r="K44" s="39" t="n">
        <f aca="false">+'Work Summary'!M42</f>
        <v>0</v>
      </c>
      <c r="L44" s="39" t="n">
        <v>0</v>
      </c>
      <c r="M44" s="39" t="n">
        <f aca="false">+'Schedule 5'!L67</f>
        <v>0</v>
      </c>
      <c r="N44" s="40" t="n">
        <f aca="false">+M44-L44=K44</f>
        <v>1</v>
      </c>
    </row>
    <row r="45" customFormat="false" ht="13.2" hidden="false" customHeight="false" outlineLevel="0" collapsed="false">
      <c r="A45" s="47" t="n">
        <v>18</v>
      </c>
      <c r="B45" s="37" t="s">
        <v>75</v>
      </c>
      <c r="J45" s="38" t="s">
        <v>62</v>
      </c>
      <c r="K45" s="39" t="n">
        <f aca="false">+'Work Summary'!M44</f>
        <v>0</v>
      </c>
      <c r="L45" s="39" t="n">
        <v>0</v>
      </c>
      <c r="M45" s="39" t="n">
        <f aca="false">+'Schedule 5'!L69</f>
        <v>0</v>
      </c>
      <c r="N45" s="40" t="n">
        <f aca="false">+M45-L45=K45</f>
        <v>1</v>
      </c>
    </row>
    <row r="46" customFormat="false" ht="13.2" hidden="false" customHeight="false" outlineLevel="0" collapsed="false">
      <c r="A46" s="47" t="n">
        <v>19</v>
      </c>
      <c r="B46" s="37" t="s">
        <v>77</v>
      </c>
      <c r="J46" s="38" t="s">
        <v>62</v>
      </c>
      <c r="K46" s="39" t="n">
        <f aca="false">+'Work Summary'!M46</f>
        <v>680</v>
      </c>
      <c r="L46" s="39" t="n">
        <v>0</v>
      </c>
      <c r="M46" s="39" t="n">
        <f aca="false">+'Schedule 5'!L71</f>
        <v>680</v>
      </c>
      <c r="N46" s="40" t="n">
        <f aca="false">+M46-L46=K46</f>
        <v>1</v>
      </c>
    </row>
    <row r="47" customFormat="false" ht="13.2" hidden="false" customHeight="false" outlineLevel="0" collapsed="false">
      <c r="A47" s="47" t="n">
        <v>20</v>
      </c>
      <c r="B47" s="37" t="s">
        <v>79</v>
      </c>
      <c r="J47" s="38" t="s">
        <v>62</v>
      </c>
      <c r="K47" s="39" t="n">
        <f aca="false">+'Work Summary'!M48</f>
        <v>0</v>
      </c>
      <c r="L47" s="39" t="n">
        <v>0</v>
      </c>
      <c r="M47" s="39" t="n">
        <f aca="false">+'Schedule 5'!L73</f>
        <v>0</v>
      </c>
      <c r="N47" s="40" t="n">
        <f aca="false">+M47-L47=K47</f>
        <v>1</v>
      </c>
    </row>
    <row r="48" customFormat="false" ht="4.2" hidden="false" customHeight="true" outlineLevel="0" collapsed="false">
      <c r="A48" s="47"/>
      <c r="C48" s="48"/>
      <c r="K48" s="52"/>
      <c r="L48" s="52"/>
      <c r="M48" s="52"/>
    </row>
    <row r="49" customFormat="false" ht="13.2" hidden="false" customHeight="false" outlineLevel="0" collapsed="false">
      <c r="A49" s="47"/>
      <c r="D49" s="53" t="s">
        <v>81</v>
      </c>
      <c r="K49" s="39" t="n">
        <f aca="false">SUM(K7:K48)</f>
        <v>2724266.95757839</v>
      </c>
      <c r="L49" s="39" t="n">
        <f aca="false">SUM(L8:L48)</f>
        <v>-437865.666624894</v>
      </c>
      <c r="M49" s="39" t="n">
        <f aca="false">SUM(M8:M48)</f>
        <v>2286401.2909535</v>
      </c>
      <c r="N49" s="40" t="n">
        <f aca="false">+M49-L49=K49</f>
        <v>1</v>
      </c>
    </row>
    <row r="50" customFormat="false" ht="13.2" hidden="false" customHeight="false" outlineLevel="0" collapsed="false">
      <c r="A50" s="47"/>
      <c r="J50" s="39"/>
      <c r="L50" s="54" t="s">
        <v>82</v>
      </c>
      <c r="M50" s="55" t="n">
        <f aca="false">+K49=M49-L49</f>
        <v>1</v>
      </c>
    </row>
    <row r="51" customFormat="false" ht="13.2" hidden="false" customHeight="false" outlineLevel="0" collapsed="false">
      <c r="A51" s="47"/>
    </row>
    <row r="52" customFormat="false" ht="13.2" hidden="false" customHeight="true" outlineLevel="0" collapsed="false">
      <c r="A52" s="47"/>
      <c r="K52" s="56"/>
      <c r="L52" s="56"/>
      <c r="M52" s="56"/>
    </row>
    <row r="53" customFormat="false" ht="13.2" hidden="false" customHeight="false" outlineLevel="0" collapsed="false">
      <c r="A53" s="47"/>
    </row>
    <row r="54" customFormat="false" ht="13.2" hidden="false" customHeight="false" outlineLevel="0" collapsed="false">
      <c r="A54" s="47"/>
    </row>
    <row r="55" customFormat="false" ht="13.2" hidden="false" customHeight="false" outlineLevel="0" collapsed="false">
      <c r="A55" s="47"/>
    </row>
    <row r="56" customFormat="false" ht="13.2" hidden="false" customHeight="false" outlineLevel="0" collapsed="false">
      <c r="A56" s="47"/>
    </row>
    <row r="57" customFormat="false" ht="13.2" hidden="false" customHeight="false" outlineLevel="0" collapsed="false">
      <c r="A57" s="47"/>
    </row>
    <row r="58" customFormat="false" ht="13.2" hidden="false" customHeight="false" outlineLevel="0" collapsed="false">
      <c r="A58" s="47"/>
    </row>
    <row r="59" customFormat="false" ht="13.2" hidden="false" customHeight="false" outlineLevel="0" collapsed="false">
      <c r="A59" s="47"/>
    </row>
  </sheetData>
  <mergeCells count="2">
    <mergeCell ref="C4:M4"/>
    <mergeCell ref="C5:M5"/>
  </mergeCells>
  <printOptions headings="false" gridLines="false" gridLinesSet="true" horizontalCentered="false" verticalCentered="false"/>
  <pageMargins left="0.170138888888889" right="0.190277777777778" top="0.420138888888889" bottom="0.4" header="0.2" footer="0.170138888888889"/>
  <pageSetup paperSize="1" scale="100" fitToWidth="1" fitToHeight="1" pageOrder="downThenOver" orientation="landscape" blackAndWhite="false" draft="false" cellComments="none" horizontalDpi="300" verticalDpi="300" copies="1"/>
  <headerFooter differentFirst="false" differentOddEven="false">
    <oddHeader>&amp;L&amp;"Arial,Bold"&amp;12Doyle Power, LCC - Principal Insured&amp;RThru: &amp;D
Page &amp;P</oddHeader>
    <oddFooter>&amp;L&amp;F&amp;R&amp;A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54"/>
  <sheetViews>
    <sheetView showFormulas="false" showGridLines="true" showRowColHeaders="true" showZeros="true" rightToLeft="false" tabSelected="false" showOutlineSymbols="true" defaultGridColor="true" view="pageBreakPreview" topLeftCell="A1" colorId="64" zoomScale="75" zoomScaleNormal="75" zoomScalePageLayoutView="75" workbookViewId="0">
      <selection pane="topLeft" activeCell="A1" activeCellId="0" sqref="A1"/>
    </sheetView>
  </sheetViews>
  <sheetFormatPr defaultColWidth="10.328125" defaultRowHeight="13.2" customHeight="true" zeroHeight="false" outlineLevelRow="0" outlineLevelCol="0"/>
  <cols>
    <col collapsed="false" customWidth="true" hidden="false" outlineLevel="0" max="1" min="1" style="37" width="5.55"/>
    <col collapsed="false" customWidth="true" hidden="false" outlineLevel="0" max="4" min="2" style="37" width="5.99"/>
    <col collapsed="false" customWidth="true" hidden="false" outlineLevel="0" max="5" min="5" style="37" width="1.99"/>
    <col collapsed="false" customWidth="true" hidden="false" outlineLevel="0" max="6" min="6" style="37" width="3.1"/>
    <col collapsed="false" customWidth="true" hidden="false" outlineLevel="0" max="7" min="7" style="38" width="1.99"/>
    <col collapsed="false" customWidth="true" hidden="false" outlineLevel="0" max="8" min="8" style="38" width="7.99"/>
    <col collapsed="false" customWidth="true" hidden="false" outlineLevel="0" max="9" min="9" style="38" width="11.55"/>
    <col collapsed="false" customWidth="true" hidden="false" outlineLevel="0" max="10" min="10" style="38" width="12.43"/>
    <col collapsed="false" customWidth="true" hidden="false" outlineLevel="0" max="11" min="11" style="39" width="15.55"/>
    <col collapsed="false" customWidth="true" hidden="false" outlineLevel="0" max="12" min="12" style="39" width="15.66"/>
    <col collapsed="false" customWidth="false" hidden="false" outlineLevel="0" max="257" min="13" style="38" width="10.32"/>
  </cols>
  <sheetData>
    <row r="1" customFormat="false" ht="15.6" hidden="false" customHeight="false" outlineLevel="0" collapsed="false">
      <c r="B1" s="41" t="s">
        <v>99</v>
      </c>
      <c r="C1" s="41"/>
      <c r="D1" s="41"/>
      <c r="E1" s="41"/>
      <c r="F1" s="41"/>
      <c r="G1" s="41"/>
      <c r="J1" s="42" t="s">
        <v>100</v>
      </c>
    </row>
    <row r="2" customFormat="false" ht="13.2" hidden="false" customHeight="false" outlineLevel="0" collapsed="false">
      <c r="B2" s="38" t="s">
        <v>25</v>
      </c>
      <c r="C2" s="38"/>
      <c r="D2" s="38"/>
      <c r="E2" s="38"/>
      <c r="F2" s="38"/>
    </row>
    <row r="3" customFormat="false" ht="18.6" hidden="false" customHeight="true" outlineLevel="0" collapsed="false">
      <c r="A3" s="67" t="s">
        <v>6</v>
      </c>
      <c r="B3" s="68"/>
      <c r="C3" s="67" t="s">
        <v>26</v>
      </c>
      <c r="D3" s="67"/>
      <c r="E3" s="67"/>
      <c r="F3" s="69"/>
      <c r="G3" s="69"/>
      <c r="H3" s="68"/>
      <c r="I3" s="68"/>
      <c r="J3" s="70" t="s">
        <v>28</v>
      </c>
      <c r="K3" s="70" t="s">
        <v>29</v>
      </c>
      <c r="L3" s="70" t="s">
        <v>30</v>
      </c>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c r="IM3" s="68"/>
      <c r="IN3" s="68"/>
      <c r="IO3" s="68"/>
      <c r="IP3" s="68"/>
      <c r="IQ3" s="68"/>
      <c r="IR3" s="68"/>
      <c r="IS3" s="68"/>
      <c r="IT3" s="68"/>
      <c r="IU3" s="68"/>
      <c r="IV3" s="68"/>
      <c r="IW3" s="68"/>
    </row>
    <row r="4" customFormat="false" ht="13.2" hidden="false" customHeight="false" outlineLevel="0" collapsed="false">
      <c r="A4" s="71" t="s">
        <v>101</v>
      </c>
    </row>
    <row r="5" customFormat="false" ht="13.2" hidden="false" customHeight="false" outlineLevel="0" collapsed="false">
      <c r="A5" s="37" t="s">
        <v>102</v>
      </c>
      <c r="H5" s="72" t="n">
        <v>36796</v>
      </c>
      <c r="I5" s="72"/>
      <c r="J5" s="39"/>
    </row>
    <row r="6" customFormat="false" ht="13.2" hidden="false" customHeight="false" outlineLevel="0" collapsed="false">
      <c r="A6" s="47" t="n">
        <v>1</v>
      </c>
      <c r="B6" s="37" t="s">
        <v>103</v>
      </c>
      <c r="I6" s="39"/>
      <c r="J6" s="39"/>
    </row>
    <row r="7" customFormat="false" ht="13.2" hidden="false" customHeight="false" outlineLevel="0" collapsed="false">
      <c r="A7" s="47"/>
      <c r="B7" s="73" t="s">
        <v>104</v>
      </c>
      <c r="C7" s="74"/>
      <c r="D7" s="74"/>
      <c r="E7" s="74"/>
      <c r="I7" s="75" t="n">
        <v>41175</v>
      </c>
      <c r="J7" s="39"/>
    </row>
    <row r="8" customFormat="false" ht="13.2" hidden="false" customHeight="false" outlineLevel="0" collapsed="false">
      <c r="A8" s="47"/>
      <c r="B8" s="73" t="s">
        <v>105</v>
      </c>
      <c r="C8" s="74"/>
      <c r="D8" s="74"/>
      <c r="E8" s="74"/>
      <c r="I8" s="75" t="n">
        <v>36950</v>
      </c>
      <c r="J8" s="39"/>
    </row>
    <row r="9" customFormat="false" ht="13.2" hidden="false" customHeight="false" outlineLevel="0" collapsed="false">
      <c r="A9" s="47"/>
      <c r="B9" s="73" t="s">
        <v>106</v>
      </c>
      <c r="C9" s="74"/>
      <c r="D9" s="74"/>
      <c r="E9" s="74"/>
      <c r="I9" s="75" t="n">
        <v>33408</v>
      </c>
      <c r="J9" s="39"/>
    </row>
    <row r="10" customFormat="false" ht="13.2" hidden="false" customHeight="false" outlineLevel="0" collapsed="false">
      <c r="A10" s="47"/>
      <c r="B10" s="73" t="s">
        <v>107</v>
      </c>
      <c r="C10" s="74"/>
      <c r="D10" s="74"/>
      <c r="E10" s="74"/>
      <c r="I10" s="75" t="n">
        <v>51766</v>
      </c>
      <c r="J10" s="39"/>
    </row>
    <row r="11" customFormat="false" ht="13.2" hidden="false" customHeight="false" outlineLevel="0" collapsed="false">
      <c r="A11" s="47"/>
      <c r="B11" s="73" t="s">
        <v>108</v>
      </c>
      <c r="C11" s="74"/>
      <c r="D11" s="74"/>
      <c r="E11" s="74"/>
      <c r="I11" s="76" t="n">
        <v>281093</v>
      </c>
      <c r="J11" s="39"/>
    </row>
    <row r="12" customFormat="false" ht="13.2" hidden="false" customHeight="false" outlineLevel="0" collapsed="false">
      <c r="A12" s="47"/>
      <c r="B12" s="74"/>
      <c r="C12" s="73" t="s">
        <v>109</v>
      </c>
      <c r="D12" s="74"/>
      <c r="E12" s="74"/>
      <c r="I12" s="75" t="n">
        <f aca="false">SUM(I7:I11)</f>
        <v>444392</v>
      </c>
      <c r="J12" s="39"/>
      <c r="K12" s="39" t="n">
        <f aca="false">-SUM('Schedule 1 (L)'!T50:U50)</f>
        <v>-126560.25</v>
      </c>
    </row>
    <row r="13" customFormat="false" ht="4.2" hidden="false" customHeight="true" outlineLevel="0" collapsed="false">
      <c r="A13" s="47"/>
      <c r="B13" s="74"/>
      <c r="C13" s="74"/>
      <c r="D13" s="74"/>
      <c r="E13" s="74"/>
      <c r="F13" s="74"/>
      <c r="I13" s="39"/>
      <c r="J13" s="39"/>
    </row>
    <row r="14" customFormat="false" ht="13.2" hidden="false" customHeight="false" outlineLevel="0" collapsed="false">
      <c r="A14" s="47"/>
      <c r="B14" s="73" t="s">
        <v>110</v>
      </c>
      <c r="C14" s="74"/>
      <c r="D14" s="74"/>
      <c r="E14" s="74"/>
      <c r="F14" s="74"/>
      <c r="I14" s="39" t="n">
        <v>7950</v>
      </c>
      <c r="J14" s="39"/>
      <c r="K14" s="39" t="n">
        <f aca="false">-'Schedule 1 (L)'!H30-'Schedule 1 (L)'!H31-'Schedule 1 (L)'!H32</f>
        <v>-1892.16320058222</v>
      </c>
    </row>
    <row r="15" customFormat="false" ht="13.2" hidden="false" customHeight="false" outlineLevel="0" collapsed="false">
      <c r="A15" s="47"/>
      <c r="B15" s="73" t="s">
        <v>111</v>
      </c>
      <c r="C15" s="74"/>
      <c r="D15" s="74"/>
      <c r="E15" s="74"/>
      <c r="F15" s="74"/>
      <c r="I15" s="77" t="n">
        <v>6750</v>
      </c>
      <c r="J15" s="39"/>
      <c r="K15" s="39" t="n">
        <f aca="false">-'Schedule 1 (L)'!H38-'Schedule 1 (L)'!H39-'Schedule 1 (L)'!H40</f>
        <v>-2071.4679961882</v>
      </c>
    </row>
    <row r="16" customFormat="false" ht="13.2" hidden="false" customHeight="false" outlineLevel="0" collapsed="false">
      <c r="A16" s="47"/>
      <c r="B16" s="74"/>
      <c r="C16" s="74"/>
      <c r="D16" s="74"/>
      <c r="E16" s="74"/>
      <c r="F16" s="74"/>
      <c r="I16" s="39" t="n">
        <f aca="false">+I14+I15</f>
        <v>14700</v>
      </c>
    </row>
    <row r="17" customFormat="false" ht="13.2" hidden="false" customHeight="false" outlineLevel="0" collapsed="false">
      <c r="A17" s="47"/>
      <c r="B17" s="73" t="s">
        <v>112</v>
      </c>
      <c r="C17" s="74"/>
      <c r="D17" s="74"/>
      <c r="E17" s="74"/>
      <c r="F17" s="74"/>
      <c r="I17" s="39"/>
      <c r="J17" s="39" t="n">
        <f aca="false">+I12+I16</f>
        <v>459092</v>
      </c>
      <c r="L17" s="39" t="n">
        <f aca="false">+J17+K12+K14+K15</f>
        <v>328568.11880323</v>
      </c>
    </row>
    <row r="18" customFormat="false" ht="4.8" hidden="false" customHeight="true" outlineLevel="0" collapsed="false">
      <c r="A18" s="47"/>
      <c r="B18" s="74"/>
      <c r="C18" s="74"/>
      <c r="D18" s="74"/>
      <c r="E18" s="74"/>
      <c r="F18" s="74"/>
      <c r="I18" s="39"/>
      <c r="J18" s="39"/>
    </row>
    <row r="19" customFormat="false" ht="13.2" hidden="false" customHeight="false" outlineLevel="0" collapsed="false">
      <c r="A19" s="47" t="n">
        <v>2</v>
      </c>
      <c r="B19" s="73" t="s">
        <v>113</v>
      </c>
      <c r="C19" s="74"/>
      <c r="D19" s="74"/>
      <c r="E19" s="74"/>
      <c r="F19" s="74"/>
      <c r="I19" s="39"/>
      <c r="J19" s="39"/>
    </row>
    <row r="20" customFormat="false" ht="13.2" hidden="false" customHeight="false" outlineLevel="0" collapsed="false">
      <c r="A20" s="47"/>
      <c r="B20" s="73" t="s">
        <v>105</v>
      </c>
      <c r="C20" s="74"/>
      <c r="D20" s="74"/>
      <c r="E20" s="74"/>
      <c r="F20" s="74"/>
      <c r="I20" s="39" t="n">
        <v>19900</v>
      </c>
      <c r="J20" s="39"/>
    </row>
    <row r="21" customFormat="false" ht="13.2" hidden="false" customHeight="false" outlineLevel="0" collapsed="false">
      <c r="A21" s="47"/>
      <c r="B21" s="73" t="s">
        <v>106</v>
      </c>
      <c r="C21" s="74"/>
      <c r="D21" s="74"/>
      <c r="E21" s="74"/>
      <c r="F21" s="74"/>
      <c r="I21" s="39" t="n">
        <v>27853.5</v>
      </c>
      <c r="J21" s="39"/>
    </row>
    <row r="22" customFormat="false" ht="13.2" hidden="false" customHeight="false" outlineLevel="0" collapsed="false">
      <c r="A22" s="47"/>
      <c r="B22" s="73" t="s">
        <v>107</v>
      </c>
      <c r="C22" s="74"/>
      <c r="D22" s="74"/>
      <c r="E22" s="74"/>
      <c r="F22" s="74"/>
      <c r="I22" s="39" t="n">
        <v>61771</v>
      </c>
      <c r="J22" s="39"/>
    </row>
    <row r="23" customFormat="false" ht="13.2" hidden="false" customHeight="false" outlineLevel="0" collapsed="false">
      <c r="A23" s="47"/>
      <c r="B23" s="73" t="s">
        <v>108</v>
      </c>
      <c r="C23" s="74"/>
      <c r="D23" s="74"/>
      <c r="E23" s="74"/>
      <c r="F23" s="74"/>
      <c r="I23" s="77" t="n">
        <v>306547</v>
      </c>
      <c r="J23" s="39"/>
    </row>
    <row r="24" customFormat="false" ht="13.2" hidden="false" customHeight="false" outlineLevel="0" collapsed="false">
      <c r="A24" s="47"/>
      <c r="B24" s="74"/>
      <c r="C24" s="73" t="s">
        <v>109</v>
      </c>
      <c r="D24" s="74"/>
      <c r="E24" s="74"/>
      <c r="F24" s="74"/>
      <c r="I24" s="39" t="n">
        <f aca="false">SUM(I20:I23)</f>
        <v>416071.5</v>
      </c>
      <c r="J24" s="39"/>
      <c r="K24" s="39" t="n">
        <f aca="false">-SUM('Schedule 1 (L)'!T51:U51)</f>
        <v>-100088.25</v>
      </c>
    </row>
    <row r="25" customFormat="false" ht="6.6" hidden="false" customHeight="true" outlineLevel="0" collapsed="false">
      <c r="A25" s="47"/>
      <c r="I25" s="39"/>
      <c r="J25" s="39"/>
    </row>
    <row r="26" customFormat="false" ht="13.2" hidden="false" customHeight="false" outlineLevel="0" collapsed="false">
      <c r="A26" s="47"/>
      <c r="B26" s="73" t="s">
        <v>111</v>
      </c>
      <c r="I26" s="77" t="n">
        <v>6000</v>
      </c>
      <c r="J26" s="39"/>
      <c r="K26" s="39" t="n">
        <f aca="false">-SUM('Schedule 1 (L)'!T53:U53)</f>
        <v>-1505.28452991935</v>
      </c>
    </row>
    <row r="27" customFormat="false" ht="13.2" hidden="false" customHeight="false" outlineLevel="0" collapsed="false">
      <c r="A27" s="47"/>
      <c r="B27" s="78" t="s">
        <v>114</v>
      </c>
    </row>
    <row r="28" customFormat="false" ht="13.2" hidden="false" customHeight="false" outlineLevel="0" collapsed="false">
      <c r="A28" s="47"/>
      <c r="B28" s="73" t="s">
        <v>115</v>
      </c>
      <c r="J28" s="39" t="n">
        <f aca="false">+I24+I26</f>
        <v>422071.5</v>
      </c>
      <c r="L28" s="39" t="n">
        <f aca="false">+J28+K24+K26</f>
        <v>320477.965470081</v>
      </c>
    </row>
    <row r="29" customFormat="false" ht="4.8" hidden="false" customHeight="true" outlineLevel="0" collapsed="false">
      <c r="A29" s="47"/>
      <c r="I29" s="39"/>
    </row>
    <row r="30" customFormat="false" ht="13.2" hidden="false" customHeight="false" outlineLevel="0" collapsed="false">
      <c r="A30" s="47" t="n">
        <v>3</v>
      </c>
      <c r="B30" s="73" t="s">
        <v>116</v>
      </c>
      <c r="C30" s="74"/>
      <c r="D30" s="74"/>
      <c r="E30" s="74"/>
      <c r="F30" s="74"/>
    </row>
    <row r="31" customFormat="false" ht="13.2" hidden="false" customHeight="false" outlineLevel="0" collapsed="false">
      <c r="A31" s="47"/>
      <c r="B31" s="73" t="s">
        <v>117</v>
      </c>
      <c r="C31" s="74"/>
      <c r="D31" s="74"/>
      <c r="E31" s="74"/>
      <c r="F31" s="74"/>
    </row>
    <row r="32" customFormat="false" ht="13.2" hidden="false" customHeight="false" outlineLevel="0" collapsed="false">
      <c r="A32" s="47"/>
      <c r="B32" s="73" t="s">
        <v>118</v>
      </c>
      <c r="C32" s="74"/>
      <c r="D32" s="74"/>
      <c r="E32" s="74"/>
      <c r="F32" s="74"/>
    </row>
    <row r="33" customFormat="false" ht="24.75" hidden="false" customHeight="true" outlineLevel="0" collapsed="false">
      <c r="A33" s="47"/>
      <c r="B33" s="79" t="s">
        <v>119</v>
      </c>
      <c r="C33" s="79"/>
      <c r="D33" s="79"/>
      <c r="E33" s="79"/>
      <c r="F33" s="79"/>
      <c r="G33" s="79"/>
      <c r="H33" s="79"/>
      <c r="I33" s="75" t="n">
        <v>121188.61</v>
      </c>
      <c r="J33" s="80"/>
      <c r="K33" s="39" t="n">
        <f aca="false">-I33</f>
        <v>-121188.61</v>
      </c>
    </row>
    <row r="34" customFormat="false" ht="13.2" hidden="false" customHeight="false" outlineLevel="0" collapsed="false">
      <c r="A34" s="47"/>
      <c r="B34" s="73" t="s">
        <v>120</v>
      </c>
      <c r="C34" s="74"/>
      <c r="D34" s="74"/>
      <c r="I34" s="75" t="n">
        <v>30522.99</v>
      </c>
      <c r="J34" s="80"/>
      <c r="K34" s="39" t="n">
        <f aca="false">+I34*-0.5</f>
        <v>-15261.495</v>
      </c>
    </row>
    <row r="35" customFormat="false" ht="13.2" hidden="false" customHeight="false" outlineLevel="0" collapsed="false">
      <c r="A35" s="47"/>
      <c r="B35" s="73" t="s">
        <v>121</v>
      </c>
      <c r="C35" s="74"/>
      <c r="D35" s="74"/>
      <c r="I35" s="75" t="n">
        <v>24263.32</v>
      </c>
      <c r="J35" s="80"/>
    </row>
    <row r="36" customFormat="false" ht="13.2" hidden="false" customHeight="false" outlineLevel="0" collapsed="false">
      <c r="A36" s="47"/>
      <c r="B36" s="73" t="s">
        <v>122</v>
      </c>
      <c r="C36" s="74"/>
      <c r="D36" s="74"/>
      <c r="I36" s="76" t="n">
        <v>2265.5</v>
      </c>
      <c r="J36" s="74"/>
      <c r="K36" s="39" t="n">
        <f aca="false">-I36</f>
        <v>-2265.5</v>
      </c>
    </row>
    <row r="37" customFormat="false" ht="13.2" hidden="false" customHeight="false" outlineLevel="0" collapsed="false">
      <c r="A37" s="47"/>
      <c r="B37" s="74"/>
      <c r="C37" s="73" t="s">
        <v>123</v>
      </c>
      <c r="D37" s="74"/>
      <c r="I37" s="75" t="n">
        <v>178240.42</v>
      </c>
      <c r="J37" s="80"/>
    </row>
    <row r="38" customFormat="false" ht="13.2" hidden="false" customHeight="false" outlineLevel="0" collapsed="false">
      <c r="A38" s="47"/>
      <c r="B38" s="74"/>
      <c r="C38" s="74"/>
      <c r="D38" s="74"/>
      <c r="I38" s="80"/>
      <c r="J38" s="80"/>
    </row>
    <row r="39" customFormat="false" ht="13.2" hidden="false" customHeight="false" outlineLevel="0" collapsed="false">
      <c r="A39" s="47"/>
      <c r="B39" s="73" t="s">
        <v>124</v>
      </c>
      <c r="C39" s="74"/>
      <c r="D39" s="74"/>
      <c r="I39" s="75" t="n">
        <v>2508.48</v>
      </c>
      <c r="J39" s="74"/>
    </row>
    <row r="40" customFormat="false" ht="13.2" hidden="false" customHeight="false" outlineLevel="0" collapsed="false">
      <c r="A40" s="47"/>
      <c r="B40" s="73" t="s">
        <v>125</v>
      </c>
      <c r="C40" s="74"/>
      <c r="D40" s="74"/>
      <c r="I40" s="75" t="n">
        <v>7729.02</v>
      </c>
      <c r="J40" s="74"/>
    </row>
    <row r="41" customFormat="false" ht="13.2" hidden="false" customHeight="false" outlineLevel="0" collapsed="false">
      <c r="A41" s="47"/>
      <c r="B41" s="73" t="s">
        <v>126</v>
      </c>
      <c r="C41" s="74"/>
      <c r="D41" s="74"/>
      <c r="I41" s="75" t="n">
        <v>10907.57</v>
      </c>
      <c r="J41" s="74"/>
    </row>
    <row r="42" customFormat="false" ht="13.2" hidden="false" customHeight="false" outlineLevel="0" collapsed="false">
      <c r="A42" s="47"/>
      <c r="B42" s="73" t="s">
        <v>127</v>
      </c>
      <c r="C42" s="74"/>
      <c r="D42" s="74"/>
      <c r="I42" s="76" t="n">
        <v>1780.43</v>
      </c>
      <c r="J42" s="81" t="s">
        <v>128</v>
      </c>
      <c r="K42" s="39" t="n">
        <f aca="false">+'Schedule 1 (C)'!N117</f>
        <v>-1366.43</v>
      </c>
    </row>
    <row r="43" customFormat="false" ht="12" hidden="false" customHeight="true" outlineLevel="0" collapsed="false">
      <c r="A43" s="47"/>
      <c r="B43" s="79" t="s">
        <v>129</v>
      </c>
      <c r="C43" s="79"/>
      <c r="D43" s="79"/>
      <c r="E43" s="79"/>
      <c r="F43" s="79"/>
      <c r="G43" s="79"/>
      <c r="H43" s="79"/>
      <c r="I43" s="54" t="n">
        <v>22925.5</v>
      </c>
      <c r="J43" s="80" t="n">
        <v>201165.92</v>
      </c>
      <c r="L43" s="65" t="n">
        <f aca="false">+J43+K33+K34+K36+K42</f>
        <v>61083.885</v>
      </c>
    </row>
    <row r="44" customFormat="false" ht="13.2" hidden="false" customHeight="false" outlineLevel="0" collapsed="false">
      <c r="A44" s="47" t="n">
        <v>4</v>
      </c>
      <c r="B44" s="73" t="s">
        <v>130</v>
      </c>
      <c r="C44" s="74"/>
      <c r="D44" s="74"/>
      <c r="I44" s="74"/>
      <c r="J44" s="75" t="n">
        <v>95120</v>
      </c>
      <c r="K44" s="39" t="n">
        <f aca="false">+'Schedule 1 (C)'!J26</f>
        <v>-19160</v>
      </c>
      <c r="L44" s="39" t="n">
        <f aca="false">+J44+K44</f>
        <v>75960</v>
      </c>
    </row>
    <row r="45" customFormat="false" ht="13.2" hidden="false" customHeight="false" outlineLevel="0" collapsed="false">
      <c r="A45" s="47" t="n">
        <v>5</v>
      </c>
      <c r="B45" s="73" t="s">
        <v>131</v>
      </c>
      <c r="C45" s="74"/>
      <c r="D45" s="74"/>
      <c r="I45" s="74"/>
      <c r="J45" s="80"/>
    </row>
    <row r="46" customFormat="false" ht="13.2" hidden="false" customHeight="false" outlineLevel="0" collapsed="false">
      <c r="A46" s="47"/>
      <c r="B46" s="82"/>
      <c r="C46" s="73" t="s">
        <v>132</v>
      </c>
      <c r="D46" s="74"/>
      <c r="I46" s="74"/>
      <c r="J46" s="75" t="n">
        <v>9026.6</v>
      </c>
      <c r="L46" s="39" t="n">
        <f aca="false">+J46+K46</f>
        <v>9026.6</v>
      </c>
    </row>
    <row r="47" customFormat="false" ht="13.2" hidden="false" customHeight="false" outlineLevel="0" collapsed="false">
      <c r="A47" s="47" t="n">
        <v>6</v>
      </c>
      <c r="B47" s="73" t="s">
        <v>133</v>
      </c>
      <c r="C47" s="74"/>
      <c r="D47" s="74"/>
      <c r="I47" s="74"/>
      <c r="J47" s="80"/>
    </row>
    <row r="48" customFormat="false" ht="13.2" hidden="false" customHeight="false" outlineLevel="0" collapsed="false">
      <c r="A48" s="47"/>
      <c r="B48" s="73" t="s">
        <v>134</v>
      </c>
      <c r="C48" s="74"/>
      <c r="D48" s="74"/>
      <c r="I48" s="74"/>
      <c r="J48" s="75" t="n">
        <v>8349.4</v>
      </c>
      <c r="K48" s="39" t="n">
        <f aca="false">-J48</f>
        <v>-8349.4</v>
      </c>
      <c r="L48" s="39" t="n">
        <f aca="false">+J48+K48</f>
        <v>0</v>
      </c>
    </row>
    <row r="49" customFormat="false" ht="13.2" hidden="false" customHeight="false" outlineLevel="0" collapsed="false">
      <c r="A49" s="47"/>
      <c r="B49" s="73"/>
      <c r="C49" s="74"/>
      <c r="D49" s="74"/>
      <c r="I49" s="74"/>
      <c r="J49" s="75"/>
    </row>
    <row r="50" customFormat="false" ht="13.2" hidden="false" customHeight="false" outlineLevel="0" collapsed="false">
      <c r="A50" s="47"/>
      <c r="B50" s="73" t="s">
        <v>135</v>
      </c>
      <c r="C50" s="74"/>
      <c r="D50" s="74"/>
      <c r="I50" s="74"/>
      <c r="J50" s="75" t="n">
        <f aca="false">-4860-80100-966</f>
        <v>-85926</v>
      </c>
      <c r="K50" s="39" t="n">
        <f aca="false">-J50</f>
        <v>85926</v>
      </c>
      <c r="L50" s="39" t="n">
        <f aca="false">+J50+K50</f>
        <v>0</v>
      </c>
    </row>
    <row r="51" customFormat="false" ht="6.75" hidden="false" customHeight="true" outlineLevel="0" collapsed="false">
      <c r="A51" s="47"/>
      <c r="B51" s="73"/>
      <c r="C51" s="74"/>
      <c r="D51" s="74"/>
      <c r="I51" s="74"/>
      <c r="J51" s="83"/>
      <c r="K51" s="83"/>
      <c r="L51" s="83"/>
    </row>
    <row r="52" customFormat="false" ht="13.2" hidden="false" customHeight="false" outlineLevel="0" collapsed="false">
      <c r="A52" s="47"/>
      <c r="B52" s="73"/>
      <c r="C52" s="74"/>
      <c r="D52" s="74"/>
      <c r="H52" s="59" t="s">
        <v>136</v>
      </c>
      <c r="I52" s="84" t="n">
        <f aca="false">+L52-K52</f>
        <v>1108899.42</v>
      </c>
      <c r="J52" s="75" t="n">
        <f aca="false">SUM(J6:J51)</f>
        <v>1108899.42</v>
      </c>
      <c r="K52" s="75" t="n">
        <f aca="false">SUM(K6:K51)</f>
        <v>-313782.85072669</v>
      </c>
      <c r="L52" s="75" t="n">
        <f aca="false">SUM(L6:L51)</f>
        <v>795116.56927331</v>
      </c>
    </row>
    <row r="53" customFormat="false" ht="13.2" hidden="false" customHeight="false" outlineLevel="0" collapsed="false">
      <c r="A53" s="47"/>
    </row>
    <row r="54" customFormat="false" ht="13.2" hidden="false" customHeight="false" outlineLevel="0" collapsed="false">
      <c r="A54" s="47"/>
    </row>
  </sheetData>
  <mergeCells count="3">
    <mergeCell ref="H5:I5"/>
    <mergeCell ref="B33:H33"/>
    <mergeCell ref="B43:H43"/>
  </mergeCells>
  <printOptions headings="false" gridLines="false" gridLinesSet="true" horizontalCentered="false" verticalCentered="false"/>
  <pageMargins left="0.170138888888889" right="0.240277777777778" top="0.479861111111111" bottom="0.459722222222222" header="0.2" footer="0.25"/>
  <pageSetup paperSize="1" scale="100" fitToWidth="1" fitToHeight="1" pageOrder="downThenOver" orientation="portrait" blackAndWhite="false" draft="false" cellComments="none" horizontalDpi="300" verticalDpi="300" copies="1"/>
  <headerFooter differentFirst="false" differentOddEven="false">
    <oddHeader>&amp;L&amp;"Arial,Bold"&amp;12Doyle Power, LCC - Principal Insured&amp;RThru: &amp;D
Page &amp;P</oddHeader>
    <oddFooter>&amp;L&amp;F&amp;R&amp;A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297"/>
  <sheetViews>
    <sheetView showFormulas="false" showGridLines="true" showRowColHeaders="true" showZeros="true" rightToLeft="false" tabSelected="false" showOutlineSymbols="true" defaultGridColor="true" view="pageBreakPreview" topLeftCell="A1" colorId="64" zoomScale="50" zoomScaleNormal="80" zoomScalePageLayoutView="50" workbookViewId="0">
      <selection pane="topLeft" activeCell="C2" activeCellId="0" sqref="C2"/>
    </sheetView>
  </sheetViews>
  <sheetFormatPr defaultColWidth="10.328125" defaultRowHeight="13.2" customHeight="true" zeroHeight="false" outlineLevelRow="0" outlineLevelCol="0"/>
  <cols>
    <col collapsed="false" customWidth="true" hidden="false" outlineLevel="0" max="1" min="1" style="47" width="4.87"/>
    <col collapsed="false" customWidth="true" hidden="false" outlineLevel="0" max="2" min="2" style="37" width="7.55"/>
    <col collapsed="false" customWidth="true" hidden="false" outlineLevel="0" max="3" min="3" style="37" width="6.1"/>
    <col collapsed="false" customWidth="true" hidden="false" outlineLevel="0" max="4" min="4" style="37" width="5.32"/>
    <col collapsed="false" customWidth="true" hidden="false" outlineLevel="0" max="8" min="5" style="85" width="8.55"/>
    <col collapsed="false" customWidth="true" hidden="false" outlineLevel="0" max="9" min="9" style="86" width="8.76"/>
    <col collapsed="false" customWidth="true" hidden="false" outlineLevel="0" max="13" min="10" style="86" width="8.55"/>
    <col collapsed="false" customWidth="true" hidden="false" outlineLevel="0" max="15" min="14" style="86" width="9.43"/>
    <col collapsed="false" customWidth="true" hidden="false" outlineLevel="0" max="16" min="16" style="86" width="8.55"/>
    <col collapsed="false" customWidth="true" hidden="false" outlineLevel="0" max="17" min="17" style="86" width="9.55"/>
    <col collapsed="false" customWidth="true" hidden="false" outlineLevel="0" max="18" min="18" style="39" width="12.1"/>
    <col collapsed="false" customWidth="true" hidden="false" outlineLevel="0" max="19" min="19" style="38" width="9.66"/>
    <col collapsed="false" customWidth="true" hidden="false" outlineLevel="0" max="20" min="20" style="38" width="9.55"/>
    <col collapsed="false" customWidth="true" hidden="false" outlineLevel="0" max="21" min="21" style="38" width="11.87"/>
    <col collapsed="false" customWidth="true" hidden="false" outlineLevel="0" max="22" min="22" style="38" width="6.55"/>
    <col collapsed="false" customWidth="false" hidden="false" outlineLevel="0" max="257" min="23" style="38" width="10.32"/>
  </cols>
  <sheetData>
    <row r="1" customFormat="false" ht="15.6" hidden="false" customHeight="false" outlineLevel="0" collapsed="false">
      <c r="D1" s="68" t="s">
        <v>99</v>
      </c>
      <c r="E1" s="87"/>
      <c r="F1" s="87"/>
      <c r="G1" s="87"/>
      <c r="H1" s="87"/>
      <c r="I1" s="87"/>
      <c r="J1" s="88" t="s">
        <v>137</v>
      </c>
      <c r="K1" s="89"/>
      <c r="M1" s="38" t="s">
        <v>25</v>
      </c>
    </row>
    <row r="2" customFormat="false" ht="13.2" hidden="false" customHeight="false" outlineLevel="0" collapsed="false">
      <c r="C2" s="49" t="s">
        <v>101</v>
      </c>
      <c r="H2" s="37" t="s">
        <v>102</v>
      </c>
    </row>
    <row r="3" customFormat="false" ht="13.2" hidden="false" customHeight="false" outlineLevel="0" collapsed="false">
      <c r="C3" s="73" t="s">
        <v>138</v>
      </c>
      <c r="J3" s="90"/>
      <c r="K3" s="90"/>
    </row>
    <row r="4" customFormat="false" ht="3.6" hidden="false" customHeight="true" outlineLevel="0" collapsed="false">
      <c r="C4" s="38"/>
      <c r="D4" s="80"/>
      <c r="E4" s="91"/>
      <c r="F4" s="92"/>
    </row>
    <row r="5" customFormat="false" ht="13.2" hidden="false" customHeight="false" outlineLevel="0" collapsed="false">
      <c r="C5" s="74"/>
      <c r="G5" s="93" t="s">
        <v>139</v>
      </c>
      <c r="H5" s="86"/>
      <c r="I5" s="94" t="s">
        <v>140</v>
      </c>
      <c r="K5" s="94" t="s">
        <v>141</v>
      </c>
      <c r="M5" s="95" t="s">
        <v>142</v>
      </c>
      <c r="N5" s="95"/>
      <c r="O5" s="38"/>
      <c r="P5" s="95" t="s">
        <v>143</v>
      </c>
      <c r="Q5" s="95"/>
      <c r="R5" s="96" t="s">
        <v>144</v>
      </c>
      <c r="S5" s="96"/>
      <c r="T5" s="95" t="s">
        <v>145</v>
      </c>
      <c r="U5" s="95"/>
    </row>
    <row r="6" customFormat="false" ht="13.2" hidden="false" customHeight="false" outlineLevel="0" collapsed="false">
      <c r="C6" s="73" t="s">
        <v>146</v>
      </c>
      <c r="G6" s="97" t="n">
        <v>412404</v>
      </c>
      <c r="H6" s="97"/>
      <c r="I6" s="97" t="n">
        <v>398947.5</v>
      </c>
      <c r="J6" s="97"/>
      <c r="K6" s="97" t="n">
        <f aca="false">+G6+I6</f>
        <v>811351.5</v>
      </c>
      <c r="L6" s="97"/>
      <c r="M6" s="98" t="n">
        <f aca="false">+H29+H30+H37+H38+H46+H47</f>
        <v>18832.3811281428</v>
      </c>
      <c r="N6" s="98"/>
      <c r="O6" s="38"/>
      <c r="P6" s="98" t="n">
        <f aca="false">+M6+K6</f>
        <v>830183.881128143</v>
      </c>
      <c r="Q6" s="98"/>
      <c r="R6" s="98" t="n">
        <f aca="false">-S38</f>
        <v>-145486.296854833</v>
      </c>
      <c r="S6" s="98"/>
      <c r="T6" s="98" t="n">
        <f aca="false">+P6+R6</f>
        <v>684697.58427331</v>
      </c>
      <c r="U6" s="98"/>
    </row>
    <row r="7" customFormat="false" ht="4.2" hidden="false" customHeight="true" outlineLevel="0" collapsed="false">
      <c r="C7" s="74"/>
      <c r="G7" s="80"/>
      <c r="H7" s="39"/>
      <c r="I7" s="80"/>
      <c r="J7" s="39"/>
      <c r="K7" s="80"/>
      <c r="L7" s="39"/>
      <c r="M7" s="38"/>
      <c r="N7" s="38"/>
      <c r="O7" s="38"/>
      <c r="P7" s="38"/>
      <c r="Q7" s="38"/>
      <c r="S7" s="39"/>
    </row>
    <row r="8" customFormat="false" ht="13.2" hidden="false" customHeight="true" outlineLevel="0" collapsed="false">
      <c r="C8" s="73" t="s">
        <v>147</v>
      </c>
      <c r="G8" s="97" t="n">
        <v>6247</v>
      </c>
      <c r="H8" s="97"/>
      <c r="I8" s="97" t="n">
        <v>3719</v>
      </c>
      <c r="J8" s="97"/>
      <c r="K8" s="97" t="n">
        <f aca="false">+G8+I8</f>
        <v>9966</v>
      </c>
      <c r="L8" s="97"/>
      <c r="M8" s="98" t="n">
        <f aca="false">+H31+H39+H48</f>
        <v>862.108664049922</v>
      </c>
      <c r="N8" s="98"/>
      <c r="O8" s="38"/>
      <c r="P8" s="98" t="n">
        <f aca="false">+M8+K8</f>
        <v>10828.1086640499</v>
      </c>
      <c r="Q8" s="98"/>
      <c r="R8" s="98" t="n">
        <f aca="false">-S43</f>
        <v>-47298.6086640499</v>
      </c>
      <c r="S8" s="98"/>
      <c r="T8" s="98" t="n">
        <f aca="false">+P8+R8</f>
        <v>-36470.5</v>
      </c>
      <c r="U8" s="98"/>
    </row>
    <row r="9" customFormat="false" ht="7.2" hidden="false" customHeight="true" outlineLevel="0" collapsed="false">
      <c r="C9" s="74"/>
      <c r="G9" s="81"/>
      <c r="H9" s="55"/>
      <c r="I9" s="80"/>
      <c r="J9" s="39"/>
      <c r="K9" s="80"/>
      <c r="L9" s="39"/>
      <c r="M9" s="38"/>
      <c r="N9" s="38"/>
      <c r="O9" s="38"/>
      <c r="P9" s="38"/>
      <c r="Q9" s="38"/>
      <c r="S9" s="39"/>
    </row>
    <row r="10" customFormat="false" ht="13.2" hidden="false" customHeight="false" outlineLevel="0" collapsed="false">
      <c r="C10" s="73" t="s">
        <v>148</v>
      </c>
      <c r="G10" s="99" t="n">
        <v>25741</v>
      </c>
      <c r="H10" s="99"/>
      <c r="I10" s="99" t="n">
        <v>13405</v>
      </c>
      <c r="J10" s="99"/>
      <c r="K10" s="99" t="n">
        <f aca="false">+G10+I10</f>
        <v>39146</v>
      </c>
      <c r="L10" s="99"/>
      <c r="M10" s="100" t="n">
        <f aca="false">+H32+H40+H49</f>
        <v>1005.5102078073</v>
      </c>
      <c r="N10" s="100"/>
      <c r="O10" s="38"/>
      <c r="P10" s="100" t="n">
        <f aca="false">+M10+K10</f>
        <v>40151.5102078073</v>
      </c>
      <c r="Q10" s="100"/>
      <c r="R10" s="100" t="n">
        <f aca="false">-S47</f>
        <v>-39332.5102078073</v>
      </c>
      <c r="S10" s="100"/>
      <c r="T10" s="100" t="n">
        <f aca="false">+P10+R10</f>
        <v>819</v>
      </c>
      <c r="U10" s="100"/>
    </row>
    <row r="11" customFormat="false" ht="5.4" hidden="false" customHeight="true" outlineLevel="0" collapsed="false">
      <c r="C11" s="74"/>
      <c r="G11" s="81"/>
      <c r="H11" s="55"/>
      <c r="I11" s="80"/>
      <c r="J11" s="39"/>
      <c r="K11" s="80"/>
      <c r="L11" s="39"/>
      <c r="M11" s="38"/>
      <c r="N11" s="38"/>
      <c r="O11" s="38"/>
      <c r="S11" s="39"/>
      <c r="T11" s="86"/>
      <c r="U11" s="86"/>
    </row>
    <row r="12" customFormat="false" ht="13.2" hidden="false" customHeight="false" outlineLevel="0" collapsed="false">
      <c r="C12" s="73" t="s">
        <v>149</v>
      </c>
      <c r="G12" s="97" t="n">
        <f aca="false">SUM(G6:G11)</f>
        <v>444392</v>
      </c>
      <c r="H12" s="97"/>
      <c r="I12" s="97" t="n">
        <f aca="false">SUM(I6:I11)</f>
        <v>416071.5</v>
      </c>
      <c r="J12" s="97"/>
      <c r="K12" s="97" t="n">
        <f aca="false">SUM(K6:K11)</f>
        <v>860463.5</v>
      </c>
      <c r="L12" s="97"/>
      <c r="M12" s="98" t="n">
        <f aca="false">+M6+M8+M10</f>
        <v>20700</v>
      </c>
      <c r="N12" s="98"/>
      <c r="O12" s="38"/>
      <c r="P12" s="98" t="n">
        <f aca="false">+P6+P8+P10</f>
        <v>881163.5</v>
      </c>
      <c r="Q12" s="98"/>
      <c r="R12" s="98" t="n">
        <f aca="false">SUM(R6:S10)</f>
        <v>-232117.41572669</v>
      </c>
      <c r="S12" s="98"/>
      <c r="T12" s="98" t="n">
        <f aca="false">+T6+T8+T10</f>
        <v>649046.08427331</v>
      </c>
      <c r="U12" s="98"/>
    </row>
    <row r="13" customFormat="false" ht="13.2" hidden="false" customHeight="false" outlineLevel="0" collapsed="false">
      <c r="C13" s="74"/>
      <c r="J13" s="92"/>
      <c r="L13" s="92"/>
      <c r="N13" s="92"/>
    </row>
    <row r="14" customFormat="false" ht="6" hidden="false" customHeight="true" outlineLevel="0" collapsed="false">
      <c r="B14" s="101"/>
      <c r="C14" s="102"/>
      <c r="D14" s="103"/>
      <c r="E14" s="104"/>
      <c r="F14" s="104"/>
      <c r="G14" s="104"/>
      <c r="H14" s="104"/>
      <c r="I14" s="105"/>
      <c r="J14" s="106"/>
      <c r="K14" s="105"/>
      <c r="L14" s="106"/>
      <c r="M14" s="105"/>
      <c r="N14" s="106"/>
      <c r="O14" s="105"/>
      <c r="P14" s="105"/>
      <c r="Q14" s="105"/>
      <c r="R14" s="107"/>
      <c r="S14" s="108"/>
      <c r="T14" s="108"/>
      <c r="U14" s="109"/>
    </row>
    <row r="15" customFormat="false" ht="13.2" hidden="false" customHeight="false" outlineLevel="0" collapsed="false">
      <c r="B15" s="110"/>
      <c r="C15" s="111" t="s">
        <v>150</v>
      </c>
      <c r="D15" s="112"/>
      <c r="E15" s="90"/>
      <c r="F15" s="90"/>
      <c r="G15" s="90"/>
      <c r="H15" s="90"/>
      <c r="I15" s="113"/>
      <c r="J15" s="114"/>
      <c r="K15" s="114"/>
      <c r="L15" s="114"/>
      <c r="M15" s="113"/>
      <c r="N15" s="113"/>
      <c r="O15" s="113"/>
      <c r="P15" s="113"/>
      <c r="Q15" s="113"/>
      <c r="R15" s="98"/>
      <c r="S15" s="115"/>
      <c r="T15" s="115"/>
      <c r="U15" s="116"/>
    </row>
    <row r="16" customFormat="false" ht="13.2" hidden="false" customHeight="false" outlineLevel="0" collapsed="false">
      <c r="B16" s="110"/>
      <c r="C16" s="117"/>
      <c r="D16" s="112"/>
      <c r="E16" s="90"/>
      <c r="F16" s="90"/>
      <c r="G16" s="90"/>
      <c r="H16" s="90"/>
      <c r="I16" s="118" t="s">
        <v>151</v>
      </c>
      <c r="J16" s="114"/>
      <c r="K16" s="114"/>
      <c r="L16" s="114"/>
      <c r="M16" s="113"/>
      <c r="N16" s="118" t="s">
        <v>152</v>
      </c>
      <c r="O16" s="113"/>
      <c r="P16" s="113"/>
      <c r="Q16" s="113"/>
      <c r="R16" s="98"/>
      <c r="S16" s="115"/>
      <c r="T16" s="115"/>
      <c r="U16" s="116"/>
    </row>
    <row r="17" customFormat="false" ht="13.2" hidden="false" customHeight="false" outlineLevel="0" collapsed="false">
      <c r="B17" s="110"/>
      <c r="C17" s="112"/>
      <c r="D17" s="112"/>
      <c r="E17" s="90"/>
      <c r="F17" s="90"/>
      <c r="G17" s="119" t="s">
        <v>153</v>
      </c>
      <c r="H17" s="119" t="s">
        <v>154</v>
      </c>
      <c r="I17" s="119" t="s">
        <v>143</v>
      </c>
      <c r="J17" s="113"/>
      <c r="K17" s="120" t="s">
        <v>143</v>
      </c>
      <c r="L17" s="113"/>
      <c r="M17" s="113"/>
      <c r="N17" s="113"/>
      <c r="O17" s="113"/>
      <c r="P17" s="113"/>
      <c r="Q17" s="119" t="s">
        <v>153</v>
      </c>
      <c r="R17" s="119" t="s">
        <v>154</v>
      </c>
      <c r="S17" s="119" t="s">
        <v>143</v>
      </c>
      <c r="T17" s="120" t="s">
        <v>143</v>
      </c>
      <c r="U17" s="116"/>
    </row>
    <row r="18" customFormat="false" ht="13.2" hidden="false" customHeight="false" outlineLevel="0" collapsed="false">
      <c r="B18" s="110"/>
      <c r="C18" s="117"/>
      <c r="D18" s="112"/>
      <c r="E18" s="90"/>
      <c r="F18" s="90"/>
      <c r="G18" s="119" t="s">
        <v>155</v>
      </c>
      <c r="H18" s="119" t="s">
        <v>155</v>
      </c>
      <c r="I18" s="119" t="s">
        <v>156</v>
      </c>
      <c r="J18" s="113"/>
      <c r="K18" s="120" t="s">
        <v>157</v>
      </c>
      <c r="L18" s="113"/>
      <c r="M18" s="113"/>
      <c r="N18" s="113"/>
      <c r="O18" s="113"/>
      <c r="P18" s="113"/>
      <c r="Q18" s="119" t="s">
        <v>155</v>
      </c>
      <c r="R18" s="119" t="s">
        <v>155</v>
      </c>
      <c r="S18" s="119" t="s">
        <v>156</v>
      </c>
      <c r="T18" s="120" t="s">
        <v>157</v>
      </c>
      <c r="U18" s="116"/>
    </row>
    <row r="19" customFormat="false" ht="13.2" hidden="false" customHeight="false" outlineLevel="0" collapsed="false">
      <c r="B19" s="110"/>
      <c r="C19" s="111" t="s">
        <v>146</v>
      </c>
      <c r="D19" s="112"/>
      <c r="E19" s="90"/>
      <c r="F19" s="90"/>
      <c r="G19" s="121" t="n">
        <v>6651</v>
      </c>
      <c r="H19" s="121" t="n">
        <v>6853</v>
      </c>
      <c r="I19" s="118" t="n">
        <f aca="false">+G19+H19</f>
        <v>13504</v>
      </c>
      <c r="J19" s="118"/>
      <c r="K19" s="97" t="n">
        <f aca="false">398947.5+412404</f>
        <v>811351.5</v>
      </c>
      <c r="L19" s="97"/>
      <c r="M19" s="113"/>
      <c r="N19" s="111" t="s">
        <v>158</v>
      </c>
      <c r="O19" s="113"/>
      <c r="P19" s="113"/>
      <c r="Q19" s="121" t="n">
        <f aca="false">+T100</f>
        <v>6209</v>
      </c>
      <c r="R19" s="121" t="n">
        <f aca="false">+Q152</f>
        <v>6853</v>
      </c>
      <c r="S19" s="122" t="n">
        <f aca="false">+Q19+R19</f>
        <v>13062</v>
      </c>
      <c r="T19" s="121" t="n">
        <f aca="false">+U100+R152</f>
        <v>788829</v>
      </c>
      <c r="U19" s="116"/>
    </row>
    <row r="20" customFormat="false" ht="13.2" hidden="false" customHeight="false" outlineLevel="0" collapsed="false">
      <c r="B20" s="110"/>
      <c r="C20" s="117"/>
      <c r="D20" s="112"/>
      <c r="E20" s="90"/>
      <c r="F20" s="90"/>
      <c r="G20" s="90"/>
      <c r="H20" s="90"/>
      <c r="I20" s="113"/>
      <c r="J20" s="123" t="n">
        <f aca="false">+I19/14414</f>
        <v>0.936866934924379</v>
      </c>
      <c r="K20" s="114"/>
      <c r="L20" s="114"/>
      <c r="M20" s="113"/>
      <c r="N20" s="113"/>
      <c r="O20" s="113"/>
      <c r="P20" s="113"/>
      <c r="Q20" s="114"/>
      <c r="R20" s="114"/>
      <c r="S20" s="114"/>
      <c r="T20" s="114"/>
      <c r="U20" s="116"/>
    </row>
    <row r="21" customFormat="false" ht="13.2" hidden="false" customHeight="false" outlineLevel="0" collapsed="false">
      <c r="B21" s="110"/>
      <c r="C21" s="111" t="s">
        <v>147</v>
      </c>
      <c r="D21" s="112"/>
      <c r="E21" s="90"/>
      <c r="F21" s="90"/>
      <c r="G21" s="121" t="n">
        <v>121</v>
      </c>
      <c r="H21" s="121" t="n">
        <v>73</v>
      </c>
      <c r="I21" s="118" t="n">
        <f aca="false">+G21+H21</f>
        <v>194</v>
      </c>
      <c r="J21" s="118"/>
      <c r="K21" s="97" t="n">
        <f aca="false">3719+6247</f>
        <v>9966</v>
      </c>
      <c r="L21" s="97"/>
      <c r="M21" s="113"/>
      <c r="N21" s="111" t="s">
        <v>147</v>
      </c>
      <c r="O21" s="113"/>
      <c r="P21" s="113"/>
      <c r="Q21" s="121" t="n">
        <f aca="false">+T171</f>
        <v>563</v>
      </c>
      <c r="R21" s="121" t="n">
        <f aca="false">+Q181</f>
        <v>73</v>
      </c>
      <c r="S21" s="124" t="n">
        <f aca="false">+Q21+R21</f>
        <v>636</v>
      </c>
      <c r="T21" s="121" t="n">
        <f aca="false">+U171+R183</f>
        <v>32488.5</v>
      </c>
      <c r="U21" s="116"/>
    </row>
    <row r="22" customFormat="false" ht="13.2" hidden="false" customHeight="false" outlineLevel="0" collapsed="false">
      <c r="B22" s="110"/>
      <c r="C22" s="117"/>
      <c r="D22" s="112"/>
      <c r="E22" s="90"/>
      <c r="F22" s="90"/>
      <c r="G22" s="90"/>
      <c r="H22" s="90"/>
      <c r="I22" s="113"/>
      <c r="J22" s="123" t="n">
        <f aca="false">+I21/14414</f>
        <v>0.0134591369501873</v>
      </c>
      <c r="K22" s="114"/>
      <c r="L22" s="114"/>
      <c r="M22" s="113"/>
      <c r="N22" s="113"/>
      <c r="O22" s="113"/>
      <c r="P22" s="113"/>
      <c r="Q22" s="114"/>
      <c r="R22" s="114"/>
      <c r="S22" s="113"/>
      <c r="T22" s="98"/>
      <c r="U22" s="116"/>
    </row>
    <row r="23" customFormat="false" ht="13.2" hidden="false" customHeight="false" outlineLevel="0" collapsed="false">
      <c r="B23" s="110"/>
      <c r="C23" s="111" t="s">
        <v>148</v>
      </c>
      <c r="D23" s="112"/>
      <c r="E23" s="90"/>
      <c r="F23" s="90"/>
      <c r="G23" s="119" t="n">
        <v>475</v>
      </c>
      <c r="H23" s="119" t="n">
        <v>241</v>
      </c>
      <c r="I23" s="125" t="n">
        <f aca="false">+G23+H23</f>
        <v>716</v>
      </c>
      <c r="J23" s="125"/>
      <c r="K23" s="99" t="n">
        <f aca="false">13405+25741</f>
        <v>39146</v>
      </c>
      <c r="L23" s="99"/>
      <c r="M23" s="113"/>
      <c r="N23" s="111" t="s">
        <v>148</v>
      </c>
      <c r="O23" s="113"/>
      <c r="P23" s="113"/>
      <c r="Q23" s="119" t="n">
        <f aca="false">+T198</f>
        <v>475</v>
      </c>
      <c r="R23" s="119" t="n">
        <f aca="false">+Q212</f>
        <v>241</v>
      </c>
      <c r="S23" s="126" t="n">
        <f aca="false">+Q23+R23</f>
        <v>716</v>
      </c>
      <c r="T23" s="119" t="n">
        <f aca="false">+U198+R214</f>
        <v>39146</v>
      </c>
      <c r="U23" s="116"/>
    </row>
    <row r="24" customFormat="false" ht="13.2" hidden="false" customHeight="false" outlineLevel="0" collapsed="false">
      <c r="B24" s="110"/>
      <c r="C24" s="117"/>
      <c r="D24" s="112"/>
      <c r="E24" s="90"/>
      <c r="F24" s="90"/>
      <c r="G24" s="90"/>
      <c r="H24" s="90"/>
      <c r="I24" s="113"/>
      <c r="J24" s="123" t="n">
        <f aca="false">+I23/14414</f>
        <v>0.0496739281254336</v>
      </c>
      <c r="K24" s="114"/>
      <c r="L24" s="114"/>
      <c r="M24" s="113"/>
      <c r="N24" s="113"/>
      <c r="O24" s="113"/>
      <c r="P24" s="113"/>
      <c r="Q24" s="114"/>
      <c r="R24" s="114"/>
      <c r="S24" s="113"/>
      <c r="T24" s="98"/>
      <c r="U24" s="116"/>
    </row>
    <row r="25" customFormat="false" ht="13.2" hidden="false" customHeight="false" outlineLevel="0" collapsed="false">
      <c r="B25" s="110"/>
      <c r="C25" s="111" t="s">
        <v>159</v>
      </c>
      <c r="D25" s="112"/>
      <c r="E25" s="90"/>
      <c r="F25" s="90"/>
      <c r="G25" s="114" t="n">
        <f aca="false">SUM(G19:G23)</f>
        <v>7247</v>
      </c>
      <c r="H25" s="114" t="n">
        <f aca="false">SUM(H19:H23)</f>
        <v>7167</v>
      </c>
      <c r="I25" s="118" t="n">
        <f aca="false">SUM(I19:J23)</f>
        <v>14414.9503260719</v>
      </c>
      <c r="J25" s="118"/>
      <c r="K25" s="97" t="n">
        <f aca="false">SUM(K19:L23)</f>
        <v>860463.5</v>
      </c>
      <c r="L25" s="97"/>
      <c r="M25" s="113"/>
      <c r="N25" s="111" t="s">
        <v>141</v>
      </c>
      <c r="O25" s="113"/>
      <c r="P25" s="113"/>
      <c r="Q25" s="114" t="n">
        <f aca="false">SUM(Q18:Q24)</f>
        <v>7247</v>
      </c>
      <c r="R25" s="114" t="n">
        <f aca="false">SUM(R18:R24)</f>
        <v>7167</v>
      </c>
      <c r="S25" s="114" t="n">
        <f aca="false">SUM(S18:S24)</f>
        <v>14414</v>
      </c>
      <c r="T25" s="127" t="n">
        <f aca="false">SUM(T19:T23)</f>
        <v>860463.5</v>
      </c>
      <c r="U25" s="116"/>
    </row>
    <row r="26" customFormat="false" ht="13.2" hidden="false" customHeight="false" outlineLevel="0" collapsed="false">
      <c r="B26" s="110"/>
      <c r="C26" s="111"/>
      <c r="D26" s="112"/>
      <c r="E26" s="90"/>
      <c r="F26" s="90"/>
      <c r="G26" s="123" t="n">
        <f aca="false">+G25/I25</f>
        <v>0.502741933622385</v>
      </c>
      <c r="H26" s="123" t="n">
        <f aca="false">+H25/I25</f>
        <v>0.497192139957449</v>
      </c>
      <c r="I26" s="128" t="n">
        <f aca="false">+I25/I25</f>
        <v>1</v>
      </c>
      <c r="J26" s="114"/>
      <c r="K26" s="114"/>
      <c r="L26" s="118"/>
      <c r="M26" s="129"/>
      <c r="N26" s="111"/>
      <c r="O26" s="113"/>
      <c r="P26" s="113"/>
      <c r="Q26" s="114"/>
      <c r="R26" s="114"/>
      <c r="S26" s="115"/>
      <c r="T26" s="115"/>
      <c r="U26" s="116"/>
    </row>
    <row r="27" customFormat="false" ht="6.6" hidden="false" customHeight="true" outlineLevel="0" collapsed="false">
      <c r="B27" s="110"/>
      <c r="C27" s="111"/>
      <c r="D27" s="112"/>
      <c r="E27" s="90"/>
      <c r="F27" s="90"/>
      <c r="G27" s="90"/>
      <c r="H27" s="90"/>
      <c r="I27" s="113"/>
      <c r="J27" s="114"/>
      <c r="K27" s="130"/>
      <c r="L27" s="131"/>
      <c r="M27" s="132"/>
      <c r="N27" s="133"/>
      <c r="O27" s="134"/>
      <c r="P27" s="134"/>
      <c r="Q27" s="130"/>
      <c r="R27" s="130"/>
      <c r="S27" s="135"/>
      <c r="T27" s="135"/>
      <c r="U27" s="136"/>
      <c r="V27" s="137"/>
    </row>
    <row r="28" customFormat="false" ht="13.2" hidden="false" customHeight="false" outlineLevel="0" collapsed="false">
      <c r="B28" s="110"/>
      <c r="C28" s="138" t="s">
        <v>160</v>
      </c>
      <c r="D28" s="112"/>
      <c r="E28" s="90"/>
      <c r="F28" s="38"/>
      <c r="G28" s="97" t="n">
        <f aca="false">+U106</f>
        <v>7950</v>
      </c>
      <c r="H28" s="97"/>
      <c r="I28" s="38"/>
      <c r="J28" s="114"/>
      <c r="K28" s="38" t="s">
        <v>161</v>
      </c>
      <c r="M28" s="129"/>
      <c r="N28" s="113"/>
      <c r="O28" s="111"/>
      <c r="P28" s="113"/>
      <c r="Q28" s="122"/>
      <c r="R28" s="121"/>
      <c r="S28" s="115"/>
      <c r="T28" s="115"/>
      <c r="U28" s="116"/>
    </row>
    <row r="29" customFormat="false" ht="13.2" hidden="false" customHeight="false" outlineLevel="0" collapsed="false">
      <c r="B29" s="110"/>
      <c r="C29" s="111" t="s">
        <v>146</v>
      </c>
      <c r="D29" s="112"/>
      <c r="E29" s="90"/>
      <c r="F29" s="123" t="n">
        <f aca="false">1-F30-F31-F32</f>
        <v>0.76199205024123</v>
      </c>
      <c r="G29" s="90"/>
      <c r="H29" s="97" t="n">
        <f aca="false">+F29*G28</f>
        <v>6057.83679941778</v>
      </c>
      <c r="I29" s="97"/>
      <c r="K29" s="38"/>
      <c r="L29" s="118" t="s">
        <v>162</v>
      </c>
      <c r="M29" s="139"/>
      <c r="N29" s="140"/>
      <c r="O29" s="111" t="s">
        <v>160</v>
      </c>
      <c r="P29" s="141"/>
      <c r="Q29" s="111" t="s">
        <v>163</v>
      </c>
      <c r="R29" s="142"/>
      <c r="S29" s="38" t="s">
        <v>161</v>
      </c>
      <c r="T29" s="115"/>
      <c r="U29" s="116"/>
    </row>
    <row r="30" customFormat="false" ht="13.2" hidden="false" customHeight="false" outlineLevel="0" collapsed="false">
      <c r="B30" s="110"/>
      <c r="C30" s="111" t="s">
        <v>164</v>
      </c>
      <c r="F30" s="123" t="n">
        <f aca="false">+N38</f>
        <v>0.174874884683149</v>
      </c>
      <c r="H30" s="85" t="n">
        <f aca="false">+F30*G28</f>
        <v>1390.25533323104</v>
      </c>
      <c r="K30" s="38"/>
      <c r="L30" s="143"/>
      <c r="M30" s="139"/>
      <c r="N30" s="140"/>
      <c r="O30" s="144"/>
      <c r="P30" s="141"/>
      <c r="Q30" s="142"/>
      <c r="R30" s="142"/>
      <c r="S30" s="115"/>
      <c r="T30" s="115"/>
      <c r="U30" s="116"/>
    </row>
    <row r="31" customFormat="false" ht="13.2" hidden="false" customHeight="false" outlineLevel="0" collapsed="false">
      <c r="B31" s="110"/>
      <c r="C31" s="111" t="s">
        <v>147</v>
      </c>
      <c r="D31" s="112"/>
      <c r="E31" s="90"/>
      <c r="F31" s="123" t="n">
        <f aca="false">+J22</f>
        <v>0.0134591369501873</v>
      </c>
      <c r="G31" s="90"/>
      <c r="H31" s="97" t="n">
        <f aca="false">+G28*F31</f>
        <v>107.000138753989</v>
      </c>
      <c r="I31" s="97"/>
      <c r="J31" s="38"/>
      <c r="K31" s="111" t="s">
        <v>146</v>
      </c>
      <c r="L31" s="38"/>
      <c r="M31" s="38"/>
      <c r="N31" s="38"/>
      <c r="O31" s="38"/>
      <c r="P31" s="38"/>
      <c r="Q31" s="38"/>
      <c r="R31" s="38"/>
      <c r="U31" s="116"/>
    </row>
    <row r="32" customFormat="false" ht="13.2" hidden="false" customHeight="false" outlineLevel="0" collapsed="false">
      <c r="B32" s="110"/>
      <c r="C32" s="111" t="s">
        <v>148</v>
      </c>
      <c r="D32" s="112"/>
      <c r="E32" s="90"/>
      <c r="F32" s="123" t="n">
        <f aca="false">+J24</f>
        <v>0.0496739281254336</v>
      </c>
      <c r="G32" s="90"/>
      <c r="H32" s="99" t="n">
        <f aca="false">+G28*F32</f>
        <v>394.907728597197</v>
      </c>
      <c r="I32" s="99"/>
      <c r="J32" s="97"/>
      <c r="K32" s="145" t="s">
        <v>165</v>
      </c>
      <c r="L32" s="97" t="n">
        <f aca="false">+G6</f>
        <v>412404</v>
      </c>
      <c r="M32" s="97"/>
      <c r="O32" s="97" t="n">
        <f aca="false">+G28</f>
        <v>7950</v>
      </c>
      <c r="P32" s="97"/>
      <c r="Q32" s="97" t="n">
        <f aca="false">+H35</f>
        <v>6750</v>
      </c>
      <c r="R32" s="97"/>
      <c r="S32" s="97" t="n">
        <f aca="false">+L32+O32+Q32</f>
        <v>427104</v>
      </c>
      <c r="T32" s="97"/>
      <c r="U32" s="116"/>
    </row>
    <row r="33" customFormat="false" ht="13.2" hidden="false" customHeight="false" outlineLevel="0" collapsed="false">
      <c r="B33" s="110"/>
      <c r="C33" s="111"/>
      <c r="D33" s="112"/>
      <c r="E33" s="90"/>
      <c r="F33" s="123"/>
      <c r="G33" s="90"/>
      <c r="H33" s="146" t="n">
        <f aca="false">SUM(H29:I32)</f>
        <v>7950</v>
      </c>
      <c r="I33" s="146"/>
      <c r="J33" s="97"/>
      <c r="K33" s="145" t="s">
        <v>166</v>
      </c>
      <c r="L33" s="99" t="n">
        <f aca="false">+R154</f>
        <v>398947.5</v>
      </c>
      <c r="M33" s="99"/>
      <c r="O33" s="99" t="n">
        <v>0</v>
      </c>
      <c r="P33" s="99"/>
      <c r="Q33" s="99" t="n">
        <f aca="false">+H36</f>
        <v>0</v>
      </c>
      <c r="R33" s="99"/>
      <c r="S33" s="99" t="n">
        <f aca="false">+L33+O33+Q33</f>
        <v>398947.5</v>
      </c>
      <c r="T33" s="99"/>
      <c r="U33" s="116"/>
    </row>
    <row r="34" customFormat="false" ht="13.2" hidden="false" customHeight="false" outlineLevel="0" collapsed="false">
      <c r="B34" s="110"/>
      <c r="C34" s="38"/>
      <c r="D34" s="38"/>
      <c r="E34" s="38"/>
      <c r="F34" s="38"/>
      <c r="G34" s="38"/>
      <c r="H34" s="38"/>
      <c r="I34" s="38"/>
      <c r="J34" s="97"/>
      <c r="K34" s="139"/>
      <c r="L34" s="97" t="n">
        <f aca="false">+L32+L33</f>
        <v>811351.5</v>
      </c>
      <c r="M34" s="97"/>
      <c r="O34" s="97" t="n">
        <f aca="false">+O32+O33</f>
        <v>7950</v>
      </c>
      <c r="P34" s="97"/>
      <c r="Q34" s="97" t="n">
        <f aca="false">+Q32+Q33</f>
        <v>6750</v>
      </c>
      <c r="R34" s="97"/>
      <c r="S34" s="97" t="n">
        <f aca="false">+S32+S33</f>
        <v>826051.5</v>
      </c>
      <c r="T34" s="97"/>
      <c r="U34" s="116"/>
    </row>
    <row r="35" customFormat="false" ht="13.2" hidden="false" customHeight="false" outlineLevel="0" collapsed="false">
      <c r="B35" s="110"/>
      <c r="C35" s="138" t="s">
        <v>163</v>
      </c>
      <c r="D35" s="112"/>
      <c r="E35" s="90"/>
      <c r="F35" s="111" t="s">
        <v>165</v>
      </c>
      <c r="G35" s="90"/>
      <c r="H35" s="97" t="n">
        <f aca="false">+U107</f>
        <v>6750</v>
      </c>
      <c r="I35" s="97"/>
      <c r="J35" s="97"/>
      <c r="K35" s="147" t="s">
        <v>167</v>
      </c>
      <c r="L35" s="148"/>
      <c r="M35" s="148"/>
      <c r="N35" s="148"/>
      <c r="O35" s="148"/>
      <c r="P35" s="148"/>
      <c r="Q35" s="148"/>
      <c r="R35" s="148"/>
      <c r="S35" s="148"/>
      <c r="T35" s="148"/>
      <c r="U35" s="149"/>
    </row>
    <row r="36" customFormat="false" ht="13.8" hidden="false" customHeight="false" outlineLevel="0" collapsed="false">
      <c r="B36" s="150" t="s">
        <v>168</v>
      </c>
      <c r="C36" s="111"/>
      <c r="D36" s="112"/>
      <c r="E36" s="90"/>
      <c r="G36" s="151"/>
      <c r="H36" s="152"/>
      <c r="I36" s="152"/>
      <c r="J36" s="153"/>
      <c r="K36" s="154" t="s">
        <v>165</v>
      </c>
      <c r="L36" s="155" t="n">
        <f aca="false">+T222+T252</f>
        <v>58101.75</v>
      </c>
      <c r="M36" s="155"/>
      <c r="N36" s="156" t="n">
        <f aca="false">+L36/L34</f>
        <v>0.0716110711571988</v>
      </c>
      <c r="O36" s="155" t="n">
        <f aca="false">+H30</f>
        <v>1390.25533323104</v>
      </c>
      <c r="P36" s="155"/>
      <c r="Q36" s="155" t="n">
        <f aca="false">+H38</f>
        <v>950.977227427474</v>
      </c>
      <c r="R36" s="155"/>
      <c r="S36" s="155" t="n">
        <f aca="false">+L36+O36+Q36</f>
        <v>60442.9825606585</v>
      </c>
      <c r="T36" s="155"/>
      <c r="U36" s="157"/>
    </row>
    <row r="37" customFormat="false" ht="13.8" hidden="false" customHeight="false" outlineLevel="0" collapsed="false">
      <c r="B37" s="150" t="n">
        <v>30</v>
      </c>
      <c r="C37" s="111" t="s">
        <v>146</v>
      </c>
      <c r="D37" s="112"/>
      <c r="E37" s="90"/>
      <c r="F37" s="123" t="n">
        <f aca="false">+E53/L32</f>
        <v>0.693115852416562</v>
      </c>
      <c r="G37" s="158"/>
      <c r="H37" s="153" t="n">
        <f aca="false">+H35*F37</f>
        <v>4678.5320038118</v>
      </c>
      <c r="I37" s="153"/>
      <c r="J37" s="153"/>
      <c r="K37" s="154" t="s">
        <v>166</v>
      </c>
      <c r="L37" s="159" t="n">
        <f aca="false">+T227+T257</f>
        <v>83783.25</v>
      </c>
      <c r="M37" s="159"/>
      <c r="N37" s="160" t="n">
        <f aca="false">+L37/L34</f>
        <v>0.10326381352595</v>
      </c>
      <c r="O37" s="159" t="n">
        <v>0</v>
      </c>
      <c r="P37" s="159"/>
      <c r="Q37" s="159" t="n">
        <f aca="false">+H47</f>
        <v>1260.06429417405</v>
      </c>
      <c r="R37" s="159"/>
      <c r="S37" s="159" t="n">
        <f aca="false">+L37+O37+Q37</f>
        <v>85043.3142941741</v>
      </c>
      <c r="T37" s="159"/>
      <c r="U37" s="157"/>
    </row>
    <row r="38" customFormat="false" ht="13.8" hidden="false" customHeight="false" outlineLevel="0" collapsed="false">
      <c r="B38" s="161" t="n">
        <v>15</v>
      </c>
      <c r="C38" s="111" t="s">
        <v>164</v>
      </c>
      <c r="F38" s="123" t="n">
        <f aca="false">+L36/L32</f>
        <v>0.140885515174441</v>
      </c>
      <c r="G38" s="162"/>
      <c r="H38" s="162" t="n">
        <f aca="false">+F38*H35</f>
        <v>950.977227427474</v>
      </c>
      <c r="I38" s="163"/>
      <c r="J38" s="153"/>
      <c r="K38" s="164"/>
      <c r="L38" s="155" t="n">
        <f aca="false">+L36+L37</f>
        <v>141885</v>
      </c>
      <c r="M38" s="155"/>
      <c r="N38" s="156" t="n">
        <f aca="false">+L38/L34</f>
        <v>0.174874884683149</v>
      </c>
      <c r="O38" s="155" t="n">
        <f aca="false">+O36+O37</f>
        <v>1390.25533323104</v>
      </c>
      <c r="P38" s="155"/>
      <c r="Q38" s="155" t="n">
        <f aca="false">+Q36+Q37</f>
        <v>2211.04152160152</v>
      </c>
      <c r="R38" s="155"/>
      <c r="S38" s="155" t="n">
        <f aca="false">+S36+S37</f>
        <v>145486.296854833</v>
      </c>
      <c r="T38" s="155"/>
      <c r="U38" s="157"/>
    </row>
    <row r="39" customFormat="false" ht="13.8" hidden="false" customHeight="false" outlineLevel="0" collapsed="false">
      <c r="B39" s="150" t="n">
        <f aca="false">+B38*150</f>
        <v>2250</v>
      </c>
      <c r="C39" s="111" t="s">
        <v>147</v>
      </c>
      <c r="D39" s="112"/>
      <c r="E39" s="90"/>
      <c r="F39" s="123" t="n">
        <f aca="false">+L41/L32</f>
        <v>0.103581682039941</v>
      </c>
      <c r="G39" s="151"/>
      <c r="H39" s="153" t="n">
        <f aca="false">+F39*H35</f>
        <v>699.176353769605</v>
      </c>
      <c r="I39" s="153"/>
      <c r="J39" s="153"/>
      <c r="K39" s="165"/>
      <c r="L39" s="165"/>
      <c r="M39" s="165"/>
      <c r="N39" s="165"/>
      <c r="O39" s="165"/>
      <c r="P39" s="165"/>
      <c r="Q39" s="165"/>
      <c r="R39" s="165"/>
      <c r="S39" s="165"/>
      <c r="T39" s="165"/>
      <c r="U39" s="157"/>
    </row>
    <row r="40" customFormat="false" ht="13.8" hidden="false" customHeight="false" outlineLevel="0" collapsed="false">
      <c r="B40" s="110"/>
      <c r="C40" s="111" t="s">
        <v>148</v>
      </c>
      <c r="D40" s="112"/>
      <c r="E40" s="90"/>
      <c r="F40" s="166" t="n">
        <f aca="false">+L45/L32</f>
        <v>0.0624169503690556</v>
      </c>
      <c r="G40" s="151"/>
      <c r="H40" s="152" t="n">
        <f aca="false">+H35*F40</f>
        <v>421.314414991125</v>
      </c>
      <c r="I40" s="152"/>
      <c r="J40" s="153"/>
      <c r="K40" s="147" t="s">
        <v>169</v>
      </c>
      <c r="L40" s="147"/>
      <c r="M40" s="147"/>
      <c r="N40" s="147"/>
      <c r="O40" s="147"/>
      <c r="P40" s="147"/>
      <c r="Q40" s="155"/>
      <c r="R40" s="155"/>
      <c r="S40" s="155"/>
      <c r="T40" s="155"/>
      <c r="U40" s="157"/>
    </row>
    <row r="41" customFormat="false" ht="13.8" hidden="false" customHeight="false" outlineLevel="0" collapsed="false">
      <c r="B41" s="110"/>
      <c r="F41" s="128" t="n">
        <f aca="false">SUM(F37:F40)</f>
        <v>1</v>
      </c>
      <c r="G41" s="162"/>
      <c r="H41" s="167" t="n">
        <f aca="false">SUM(H37:I40)</f>
        <v>6750</v>
      </c>
      <c r="I41" s="167"/>
      <c r="J41" s="168"/>
      <c r="K41" s="154" t="s">
        <v>165</v>
      </c>
      <c r="L41" s="155" t="n">
        <f aca="false">+T232</f>
        <v>42717.5</v>
      </c>
      <c r="M41" s="155"/>
      <c r="N41" s="156" t="n">
        <f aca="false">+L41/L34</f>
        <v>0.0526498071427735</v>
      </c>
      <c r="O41" s="155" t="n">
        <f aca="false">+H31</f>
        <v>107.000138753989</v>
      </c>
      <c r="P41" s="155"/>
      <c r="Q41" s="155" t="n">
        <f aca="false">+H39</f>
        <v>699.176353769605</v>
      </c>
      <c r="R41" s="155"/>
      <c r="S41" s="155" t="n">
        <f aca="false">+L41+O41+Q41</f>
        <v>43523.6764925236</v>
      </c>
      <c r="T41" s="155"/>
      <c r="U41" s="157"/>
    </row>
    <row r="42" customFormat="false" ht="13.8" hidden="false" customHeight="false" outlineLevel="0" collapsed="false">
      <c r="B42" s="110"/>
      <c r="G42" s="162"/>
      <c r="H42" s="162"/>
      <c r="I42" s="163"/>
      <c r="J42" s="168"/>
      <c r="K42" s="154" t="s">
        <v>166</v>
      </c>
      <c r="L42" s="159" t="n">
        <f aca="false">+T237</f>
        <v>3719</v>
      </c>
      <c r="M42" s="159"/>
      <c r="N42" s="160" t="n">
        <f aca="false">+L42/L34</f>
        <v>0.00458371001964007</v>
      </c>
      <c r="O42" s="159" t="n">
        <v>0</v>
      </c>
      <c r="P42" s="159"/>
      <c r="Q42" s="159" t="n">
        <f aca="false">+H48</f>
        <v>55.9321715263287</v>
      </c>
      <c r="R42" s="159"/>
      <c r="S42" s="159" t="n">
        <f aca="false">+L42+O42+Q42</f>
        <v>3774.93217152633</v>
      </c>
      <c r="T42" s="159"/>
      <c r="U42" s="157"/>
    </row>
    <row r="43" customFormat="false" ht="13.8" hidden="false" customHeight="false" outlineLevel="0" collapsed="false">
      <c r="B43" s="110"/>
      <c r="F43" s="145" t="s">
        <v>166</v>
      </c>
      <c r="G43" s="169" t="n">
        <v>6000</v>
      </c>
      <c r="H43" s="169"/>
      <c r="I43" s="163"/>
      <c r="J43" s="168"/>
      <c r="K43" s="154"/>
      <c r="L43" s="155" t="n">
        <f aca="false">+L41+L42</f>
        <v>46436.5</v>
      </c>
      <c r="M43" s="155"/>
      <c r="N43" s="156" t="n">
        <f aca="false">+L43/L34</f>
        <v>0.0572335171624136</v>
      </c>
      <c r="O43" s="155" t="n">
        <f aca="false">+O41+O42</f>
        <v>107.000138753989</v>
      </c>
      <c r="P43" s="155"/>
      <c r="Q43" s="155" t="n">
        <f aca="false">+Q41+Q42</f>
        <v>755.108525295933</v>
      </c>
      <c r="R43" s="155"/>
      <c r="S43" s="155" t="n">
        <f aca="false">+S41+S42</f>
        <v>47298.6086640499</v>
      </c>
      <c r="T43" s="155"/>
      <c r="U43" s="157"/>
    </row>
    <row r="44" customFormat="false" ht="13.8" hidden="false" customHeight="false" outlineLevel="0" collapsed="false">
      <c r="B44" s="110"/>
      <c r="C44" s="38"/>
      <c r="D44" s="38"/>
      <c r="E44" s="38"/>
      <c r="F44" s="38"/>
      <c r="G44" s="158"/>
      <c r="H44" s="158"/>
      <c r="I44" s="158"/>
      <c r="J44" s="168"/>
      <c r="K44" s="147" t="s">
        <v>170</v>
      </c>
      <c r="L44" s="165"/>
      <c r="M44" s="165"/>
      <c r="N44" s="165"/>
      <c r="O44" s="165"/>
      <c r="P44" s="165"/>
      <c r="Q44" s="165"/>
      <c r="R44" s="165"/>
      <c r="S44" s="165"/>
      <c r="T44" s="165"/>
      <c r="U44" s="157"/>
    </row>
    <row r="45" customFormat="false" ht="13.8" hidden="false" customHeight="false" outlineLevel="0" collapsed="false">
      <c r="B45" s="150" t="s">
        <v>168</v>
      </c>
      <c r="C45" s="38"/>
      <c r="D45" s="38"/>
      <c r="E45" s="38"/>
      <c r="G45" s="162"/>
      <c r="H45" s="162"/>
      <c r="I45" s="158"/>
      <c r="J45" s="158"/>
      <c r="K45" s="154" t="s">
        <v>165</v>
      </c>
      <c r="L45" s="155" t="n">
        <f aca="false">+T242</f>
        <v>25741</v>
      </c>
      <c r="M45" s="155"/>
      <c r="N45" s="156" t="n">
        <f aca="false">+L45/L34</f>
        <v>0.0317260767990199</v>
      </c>
      <c r="O45" s="155" t="n">
        <f aca="false">+H32</f>
        <v>394.907728597197</v>
      </c>
      <c r="P45" s="155"/>
      <c r="Q45" s="155" t="n">
        <f aca="false">+H40</f>
        <v>421.314414991125</v>
      </c>
      <c r="R45" s="155"/>
      <c r="S45" s="155" t="n">
        <f aca="false">+L45+O45+Q45</f>
        <v>26557.2221435883</v>
      </c>
      <c r="T45" s="155"/>
      <c r="U45" s="157"/>
    </row>
    <row r="46" customFormat="false" ht="13.8" hidden="false" customHeight="false" outlineLevel="0" collapsed="false">
      <c r="B46" s="150" t="n">
        <v>28</v>
      </c>
      <c r="C46" s="111" t="s">
        <v>146</v>
      </c>
      <c r="D46" s="112"/>
      <c r="E46" s="90"/>
      <c r="F46" s="123" t="n">
        <f aca="false">+E54/L33</f>
        <v>0.749119245013442</v>
      </c>
      <c r="G46" s="158"/>
      <c r="H46" s="153" t="n">
        <f aca="false">+F46*G43</f>
        <v>4494.71547008065</v>
      </c>
      <c r="I46" s="153"/>
      <c r="J46" s="158"/>
      <c r="K46" s="154" t="s">
        <v>166</v>
      </c>
      <c r="L46" s="159" t="n">
        <f aca="false">+T247</f>
        <v>12586</v>
      </c>
      <c r="M46" s="159"/>
      <c r="N46" s="160" t="n">
        <f aca="false">+L46/L34</f>
        <v>0.0155123888967975</v>
      </c>
      <c r="O46" s="159" t="n">
        <v>0</v>
      </c>
      <c r="P46" s="159"/>
      <c r="Q46" s="159" t="n">
        <f aca="false">+H49</f>
        <v>189.288064218976</v>
      </c>
      <c r="R46" s="159"/>
      <c r="S46" s="159" t="n">
        <f aca="false">+L46+O46+Q46</f>
        <v>12775.288064219</v>
      </c>
      <c r="T46" s="159"/>
      <c r="U46" s="157"/>
    </row>
    <row r="47" customFormat="false" ht="13.8" hidden="false" customHeight="false" outlineLevel="0" collapsed="false">
      <c r="B47" s="161" t="n">
        <v>12</v>
      </c>
      <c r="C47" s="111" t="s">
        <v>164</v>
      </c>
      <c r="F47" s="123" t="n">
        <f aca="false">+L37/L33</f>
        <v>0.210010715695674</v>
      </c>
      <c r="G47" s="162"/>
      <c r="H47" s="162" t="n">
        <f aca="false">+F47*G43</f>
        <v>1260.06429417405</v>
      </c>
      <c r="I47" s="163"/>
      <c r="J47" s="153"/>
      <c r="K47" s="154"/>
      <c r="L47" s="155" t="n">
        <f aca="false">+L45+L46</f>
        <v>38327</v>
      </c>
      <c r="M47" s="155"/>
      <c r="N47" s="156" t="n">
        <f aca="false">+L47/L34</f>
        <v>0.0472384656958174</v>
      </c>
      <c r="O47" s="155" t="n">
        <f aca="false">+O45+O46</f>
        <v>394.907728597197</v>
      </c>
      <c r="P47" s="155"/>
      <c r="Q47" s="155" t="n">
        <f aca="false">+Q45+Q46</f>
        <v>610.602479210101</v>
      </c>
      <c r="R47" s="155"/>
      <c r="S47" s="155" t="n">
        <f aca="false">+S45+S46</f>
        <v>39332.5102078073</v>
      </c>
      <c r="T47" s="155"/>
      <c r="U47" s="157"/>
    </row>
    <row r="48" customFormat="false" ht="13.8" hidden="false" customHeight="true" outlineLevel="0" collapsed="false">
      <c r="B48" s="150" t="n">
        <f aca="false">+B47*150</f>
        <v>1800</v>
      </c>
      <c r="C48" s="111" t="s">
        <v>147</v>
      </c>
      <c r="D48" s="112"/>
      <c r="E48" s="90"/>
      <c r="F48" s="123" t="n">
        <f aca="false">+L42/L33</f>
        <v>0.00932202858772144</v>
      </c>
      <c r="G48" s="151"/>
      <c r="H48" s="153" t="n">
        <f aca="false">+F48*G43</f>
        <v>55.9321715263287</v>
      </c>
      <c r="I48" s="153"/>
      <c r="J48" s="158"/>
      <c r="K48" s="165"/>
      <c r="L48" s="170" t="n">
        <f aca="false">+L38+L43+L47</f>
        <v>226648.5</v>
      </c>
      <c r="M48" s="170"/>
      <c r="N48" s="171"/>
      <c r="O48" s="170" t="n">
        <f aca="false">+O38+O43+O47</f>
        <v>1892.16320058222</v>
      </c>
      <c r="P48" s="170"/>
      <c r="Q48" s="170" t="n">
        <f aca="false">+Q38+Q43+Q47</f>
        <v>3576.75252610755</v>
      </c>
      <c r="R48" s="170"/>
      <c r="S48" s="165"/>
      <c r="T48" s="172"/>
      <c r="U48" s="157"/>
    </row>
    <row r="49" customFormat="false" ht="13.8" hidden="false" customHeight="false" outlineLevel="0" collapsed="false">
      <c r="B49" s="150"/>
      <c r="C49" s="111" t="s">
        <v>148</v>
      </c>
      <c r="D49" s="112"/>
      <c r="E49" s="90"/>
      <c r="F49" s="166" t="n">
        <f aca="false">+L46/L33</f>
        <v>0.0315480107031627</v>
      </c>
      <c r="G49" s="151"/>
      <c r="H49" s="152" t="n">
        <f aca="false">+F49*G43</f>
        <v>189.288064218976</v>
      </c>
      <c r="I49" s="152"/>
      <c r="J49" s="158"/>
      <c r="K49" s="165" t="s">
        <v>136</v>
      </c>
      <c r="L49" s="155" t="n">
        <f aca="false">+L34+L43+L47</f>
        <v>896115</v>
      </c>
      <c r="M49" s="155"/>
      <c r="N49" s="173"/>
      <c r="O49" s="155" t="s">
        <v>171</v>
      </c>
      <c r="P49" s="155"/>
      <c r="Q49" s="155"/>
      <c r="R49" s="155"/>
      <c r="S49" s="165"/>
      <c r="T49" s="174"/>
      <c r="U49" s="174"/>
    </row>
    <row r="50" customFormat="false" ht="13.8" hidden="false" customHeight="false" outlineLevel="0" collapsed="false">
      <c r="B50" s="150" t="n">
        <f aca="false">+B39+B48</f>
        <v>4050</v>
      </c>
      <c r="F50" s="128" t="n">
        <f aca="false">SUM(F46:F49)</f>
        <v>1</v>
      </c>
      <c r="G50" s="162"/>
      <c r="H50" s="167" t="n">
        <f aca="false">SUM(H46:I49)</f>
        <v>6000</v>
      </c>
      <c r="I50" s="167"/>
      <c r="J50" s="168"/>
      <c r="K50" s="165"/>
      <c r="L50" s="165" t="n">
        <f aca="false">+S38+S43+S47=T54</f>
        <v>1</v>
      </c>
      <c r="M50" s="175"/>
      <c r="N50" s="173"/>
      <c r="O50" s="164"/>
      <c r="P50" s="173"/>
      <c r="Q50" s="163"/>
      <c r="R50" s="176"/>
      <c r="S50" s="154" t="s">
        <v>172</v>
      </c>
      <c r="T50" s="177" t="n">
        <f aca="false">+L36+L41+L45</f>
        <v>126560.25</v>
      </c>
      <c r="U50" s="177"/>
    </row>
    <row r="51" customFormat="false" ht="13.8" hidden="false" customHeight="false" outlineLevel="0" collapsed="false">
      <c r="B51" s="110"/>
      <c r="C51" s="111"/>
      <c r="D51" s="38"/>
      <c r="E51" s="90"/>
      <c r="F51" s="90"/>
      <c r="G51" s="151"/>
      <c r="H51" s="151"/>
      <c r="I51" s="178"/>
      <c r="J51" s="168"/>
      <c r="K51" s="165"/>
      <c r="L51" s="165"/>
      <c r="M51" s="175"/>
      <c r="N51" s="173"/>
      <c r="O51" s="164"/>
      <c r="P51" s="173"/>
      <c r="Q51" s="158"/>
      <c r="R51" s="176"/>
      <c r="S51" s="154" t="s">
        <v>173</v>
      </c>
      <c r="T51" s="177" t="n">
        <f aca="false">+L37+L42+L46</f>
        <v>100088.25</v>
      </c>
      <c r="U51" s="177"/>
    </row>
    <row r="52" customFormat="false" ht="13.8" hidden="false" customHeight="false" outlineLevel="0" collapsed="false">
      <c r="B52" s="110"/>
      <c r="C52" s="111"/>
      <c r="D52" s="38"/>
      <c r="E52" s="90"/>
      <c r="F52" s="90"/>
      <c r="G52" s="151"/>
      <c r="H52" s="151"/>
      <c r="I52" s="151"/>
      <c r="J52" s="168"/>
      <c r="K52" s="165"/>
      <c r="L52" s="165"/>
      <c r="M52" s="175"/>
      <c r="N52" s="173"/>
      <c r="O52" s="164"/>
      <c r="P52" s="173"/>
      <c r="Q52" s="158"/>
      <c r="R52" s="176"/>
      <c r="S52" s="179" t="s">
        <v>174</v>
      </c>
      <c r="T52" s="177" t="n">
        <f aca="false">+H30+H31+H32+H38+H39+H40</f>
        <v>3963.63119677043</v>
      </c>
      <c r="U52" s="177"/>
    </row>
    <row r="53" customFormat="false" ht="13.8" hidden="false" customHeight="false" outlineLevel="0" collapsed="false">
      <c r="B53" s="110"/>
      <c r="C53" s="111"/>
      <c r="D53" s="180" t="s">
        <v>175</v>
      </c>
      <c r="E53" s="90" t="n">
        <f aca="false">+L32-T50</f>
        <v>285843.75</v>
      </c>
      <c r="F53" s="90"/>
      <c r="G53" s="151" t="s">
        <v>176</v>
      </c>
      <c r="H53" s="151"/>
      <c r="I53" s="178"/>
      <c r="J53" s="168"/>
      <c r="K53" s="165"/>
      <c r="L53" s="165"/>
      <c r="M53" s="175"/>
      <c r="N53" s="173"/>
      <c r="O53" s="164"/>
      <c r="P53" s="173"/>
      <c r="Q53" s="164"/>
      <c r="R53" s="176"/>
      <c r="S53" s="179" t="s">
        <v>177</v>
      </c>
      <c r="T53" s="181" t="n">
        <f aca="false">+H47+H48+H49</f>
        <v>1505.28452991935</v>
      </c>
      <c r="U53" s="181"/>
    </row>
    <row r="54" customFormat="false" ht="13.8" hidden="false" customHeight="true" outlineLevel="0" collapsed="false">
      <c r="B54" s="182"/>
      <c r="C54" s="183"/>
      <c r="D54" s="184" t="s">
        <v>175</v>
      </c>
      <c r="E54" s="185" t="n">
        <f aca="false">+L33-T51</f>
        <v>298859.25</v>
      </c>
      <c r="F54" s="185"/>
      <c r="G54" s="186" t="s">
        <v>178</v>
      </c>
      <c r="H54" s="186"/>
      <c r="I54" s="187"/>
      <c r="J54" s="188"/>
      <c r="K54" s="189"/>
      <c r="L54" s="189"/>
      <c r="M54" s="190"/>
      <c r="N54" s="191"/>
      <c r="O54" s="192"/>
      <c r="P54" s="191"/>
      <c r="Q54" s="191"/>
      <c r="R54" s="193"/>
      <c r="S54" s="194" t="s">
        <v>179</v>
      </c>
      <c r="T54" s="195" t="n">
        <f aca="false">SUM(T50:U53)</f>
        <v>232117.41572669</v>
      </c>
      <c r="U54" s="195"/>
    </row>
    <row r="55" customFormat="false" ht="13.2" hidden="false" customHeight="false" outlineLevel="0" collapsed="false">
      <c r="K55" s="140"/>
      <c r="L55" s="140"/>
      <c r="M55" s="140"/>
      <c r="N55" s="140"/>
      <c r="O55" s="140"/>
      <c r="P55" s="140"/>
      <c r="Q55" s="140"/>
      <c r="R55" s="88"/>
      <c r="S55" s="148"/>
      <c r="T55" s="148"/>
      <c r="U55" s="148"/>
    </row>
    <row r="56" customFormat="false" ht="13.2" hidden="false" customHeight="false" outlineLevel="0" collapsed="false">
      <c r="C56" s="196" t="s">
        <v>180</v>
      </c>
      <c r="D56" s="196"/>
      <c r="E56" s="197"/>
      <c r="F56" s="197"/>
      <c r="G56" s="197"/>
      <c r="H56" s="197"/>
      <c r="J56" s="198" t="s">
        <v>181</v>
      </c>
      <c r="K56" s="199"/>
      <c r="L56" s="199"/>
      <c r="M56" s="200"/>
      <c r="N56" s="200"/>
      <c r="O56" s="200"/>
      <c r="P56" s="140"/>
      <c r="Q56" s="140"/>
      <c r="R56" s="88"/>
      <c r="S56" s="148"/>
      <c r="T56" s="148"/>
      <c r="U56" s="148"/>
    </row>
    <row r="57" customFormat="false" ht="13.2" hidden="false" customHeight="false" outlineLevel="0" collapsed="false">
      <c r="B57" s="201" t="s">
        <v>165</v>
      </c>
      <c r="C57" s="74"/>
      <c r="D57" s="61" t="s">
        <v>158</v>
      </c>
      <c r="E57" s="92"/>
      <c r="F57" s="202" t="s">
        <v>182</v>
      </c>
      <c r="G57" s="92"/>
      <c r="H57" s="92"/>
      <c r="I57" s="202" t="s">
        <v>183</v>
      </c>
      <c r="J57" s="92"/>
      <c r="K57" s="91"/>
      <c r="L57" s="202" t="s">
        <v>184</v>
      </c>
      <c r="M57" s="92"/>
      <c r="N57" s="92"/>
      <c r="O57" s="202" t="s">
        <v>185</v>
      </c>
      <c r="P57" s="92"/>
      <c r="Q57" s="92"/>
      <c r="R57" s="202" t="s">
        <v>186</v>
      </c>
      <c r="S57" s="92"/>
      <c r="T57" s="203" t="s">
        <v>143</v>
      </c>
      <c r="U57" s="75" t="s">
        <v>143</v>
      </c>
    </row>
    <row r="58" customFormat="false" ht="13.2" hidden="false" customHeight="false" outlineLevel="0" collapsed="false">
      <c r="B58" s="73" t="s">
        <v>187</v>
      </c>
      <c r="C58" s="204" t="s">
        <v>188</v>
      </c>
      <c r="D58" s="204" t="s">
        <v>189</v>
      </c>
      <c r="E58" s="203" t="s">
        <v>190</v>
      </c>
      <c r="F58" s="203" t="s">
        <v>191</v>
      </c>
      <c r="G58" s="203" t="s">
        <v>192</v>
      </c>
      <c r="H58" s="203" t="s">
        <v>190</v>
      </c>
      <c r="I58" s="203" t="s">
        <v>191</v>
      </c>
      <c r="J58" s="203" t="s">
        <v>192</v>
      </c>
      <c r="K58" s="203" t="s">
        <v>190</v>
      </c>
      <c r="L58" s="203" t="s">
        <v>191</v>
      </c>
      <c r="M58" s="203" t="s">
        <v>192</v>
      </c>
      <c r="N58" s="203" t="s">
        <v>190</v>
      </c>
      <c r="O58" s="203" t="s">
        <v>193</v>
      </c>
      <c r="P58" s="203" t="s">
        <v>192</v>
      </c>
      <c r="Q58" s="203" t="s">
        <v>190</v>
      </c>
      <c r="R58" s="203" t="s">
        <v>194</v>
      </c>
      <c r="S58" s="203" t="s">
        <v>195</v>
      </c>
      <c r="T58" s="203" t="s">
        <v>156</v>
      </c>
      <c r="U58" s="75" t="s">
        <v>157</v>
      </c>
    </row>
    <row r="59" customFormat="false" ht="13.2" hidden="false" customHeight="false" outlineLevel="0" collapsed="false">
      <c r="A59" s="47" t="n">
        <v>1</v>
      </c>
      <c r="B59" s="205" t="n">
        <v>36698</v>
      </c>
      <c r="C59" s="204" t="n">
        <v>1</v>
      </c>
      <c r="D59" s="204" t="n">
        <v>1</v>
      </c>
      <c r="E59" s="206" t="n">
        <v>8</v>
      </c>
      <c r="F59" s="207"/>
      <c r="G59" s="208"/>
      <c r="H59" s="209"/>
      <c r="I59" s="207"/>
      <c r="J59" s="210"/>
      <c r="K59" s="206" t="n">
        <v>8</v>
      </c>
      <c r="L59" s="211"/>
      <c r="M59" s="208"/>
      <c r="N59" s="206" t="n">
        <v>16</v>
      </c>
      <c r="O59" s="211"/>
      <c r="P59" s="208"/>
      <c r="Q59" s="209" t="n">
        <v>72</v>
      </c>
      <c r="R59" s="211"/>
      <c r="S59" s="208"/>
      <c r="T59" s="92" t="n">
        <f aca="false">SUM(E59:S59)</f>
        <v>104</v>
      </c>
      <c r="U59" s="80" t="n">
        <f aca="false">+(E59*85)+(F59*95)+(G59*125)+(H59*100)+(I59*150)+(J59*200)+(K59*52)+(L59*65.5)+(M59*81)+(N59*48)+(O59*63)+(P59*77.5)+(Q59*46)+(R59*59)+(S59*72.5)</f>
        <v>5176</v>
      </c>
    </row>
    <row r="60" customFormat="false" ht="13.2" hidden="false" customHeight="false" outlineLevel="0" collapsed="false">
      <c r="A60" s="47" t="n">
        <v>2</v>
      </c>
      <c r="B60" s="205" t="n">
        <v>36699</v>
      </c>
      <c r="C60" s="204" t="n">
        <v>1</v>
      </c>
      <c r="D60" s="204" t="n">
        <v>1</v>
      </c>
      <c r="E60" s="212" t="n">
        <v>8</v>
      </c>
      <c r="F60" s="213"/>
      <c r="G60" s="214"/>
      <c r="H60" s="215"/>
      <c r="I60" s="216"/>
      <c r="J60" s="217"/>
      <c r="K60" s="215" t="n">
        <v>8</v>
      </c>
      <c r="L60" s="216" t="n">
        <v>5</v>
      </c>
      <c r="M60" s="217"/>
      <c r="N60" s="215" t="n">
        <v>16</v>
      </c>
      <c r="O60" s="216" t="n">
        <v>10</v>
      </c>
      <c r="P60" s="217"/>
      <c r="Q60" s="215" t="n">
        <v>104</v>
      </c>
      <c r="R60" s="216" t="n">
        <v>36</v>
      </c>
      <c r="S60" s="214"/>
      <c r="T60" s="92" t="n">
        <f aca="false">SUM(E60:S60)</f>
        <v>187</v>
      </c>
      <c r="U60" s="80" t="n">
        <f aca="false">+(E60*85)+(F60*95)+(G60*125)+(H60*100)+(I60*150)+(J60*200)+(K60*52)+(L60*65.5)+(M60*81)+(N60*48)+(O60*63)+(P60*77.5)+(Q60*46)+(R60*59)+(S60*72.5)</f>
        <v>9729.5</v>
      </c>
    </row>
    <row r="61" customFormat="false" ht="13.2" hidden="false" customHeight="false" outlineLevel="0" collapsed="false">
      <c r="A61" s="47" t="n">
        <v>3</v>
      </c>
      <c r="B61" s="205" t="n">
        <v>36700</v>
      </c>
      <c r="C61" s="204" t="n">
        <v>1</v>
      </c>
      <c r="D61" s="204" t="n">
        <v>1</v>
      </c>
      <c r="E61" s="212" t="n">
        <v>8</v>
      </c>
      <c r="F61" s="213" t="n">
        <v>5</v>
      </c>
      <c r="G61" s="214"/>
      <c r="H61" s="215"/>
      <c r="I61" s="216"/>
      <c r="J61" s="217"/>
      <c r="K61" s="215" t="n">
        <v>8</v>
      </c>
      <c r="L61" s="216" t="n">
        <v>5</v>
      </c>
      <c r="M61" s="217"/>
      <c r="N61" s="215" t="n">
        <v>16</v>
      </c>
      <c r="O61" s="216" t="n">
        <v>10</v>
      </c>
      <c r="P61" s="217"/>
      <c r="Q61" s="215" t="n">
        <v>104</v>
      </c>
      <c r="R61" s="216" t="n">
        <v>52</v>
      </c>
      <c r="S61" s="214"/>
      <c r="T61" s="92" t="n">
        <f aca="false">SUM(E61:S61)</f>
        <v>208</v>
      </c>
      <c r="U61" s="80" t="n">
        <f aca="false">+(E61*85)+(F61*95)+(G61*125)+(H61*100)+(I61*150)+(J61*200)+(K61*52)+(L61*65.5)+(M61*81)+(N61*48)+(O61*63)+(P61*77.5)+(Q61*46)+(R61*59)+(S61*72.5)</f>
        <v>11148.5</v>
      </c>
    </row>
    <row r="62" customFormat="false" ht="13.2" hidden="false" customHeight="false" outlineLevel="0" collapsed="false">
      <c r="A62" s="47" t="n">
        <v>4</v>
      </c>
      <c r="B62" s="205" t="n">
        <v>36701</v>
      </c>
      <c r="C62" s="204" t="n">
        <v>1</v>
      </c>
      <c r="D62" s="204" t="n">
        <v>1</v>
      </c>
      <c r="E62" s="218"/>
      <c r="F62" s="219" t="n">
        <v>13</v>
      </c>
      <c r="G62" s="220"/>
      <c r="H62" s="221"/>
      <c r="I62" s="222"/>
      <c r="J62" s="220"/>
      <c r="K62" s="221"/>
      <c r="L62" s="219" t="n">
        <v>13</v>
      </c>
      <c r="M62" s="223"/>
      <c r="N62" s="221"/>
      <c r="O62" s="219" t="n">
        <v>13</v>
      </c>
      <c r="P62" s="223"/>
      <c r="Q62" s="221"/>
      <c r="R62" s="222" t="n">
        <v>24</v>
      </c>
      <c r="S62" s="220"/>
      <c r="T62" s="92" t="n">
        <f aca="false">SUM(E62:S62)</f>
        <v>63</v>
      </c>
      <c r="U62" s="80" t="n">
        <f aca="false">+(E62*85)+(F62*95)+(G62*125)+(H62*100)+(I62*150)+(J62*200)+(K62*52)+(L62*65.5)+(M62*81)+(N62*48)+(O62*63)+(P62*77.5)+(Q62*46)+(R62*59)+(S62*72.5)</f>
        <v>4321.5</v>
      </c>
    </row>
    <row r="63" customFormat="false" ht="13.2" hidden="false" customHeight="false" outlineLevel="0" collapsed="false">
      <c r="A63" s="47" t="n">
        <v>5</v>
      </c>
      <c r="B63" s="205" t="n">
        <v>36702</v>
      </c>
      <c r="C63" s="204" t="n">
        <v>1</v>
      </c>
      <c r="D63" s="204" t="n">
        <v>1</v>
      </c>
      <c r="E63" s="218"/>
      <c r="F63" s="219"/>
      <c r="G63" s="220" t="n">
        <v>13</v>
      </c>
      <c r="H63" s="221"/>
      <c r="I63" s="222"/>
      <c r="J63" s="223"/>
      <c r="K63" s="221"/>
      <c r="L63" s="222"/>
      <c r="M63" s="220" t="n">
        <v>13</v>
      </c>
      <c r="N63" s="221"/>
      <c r="O63" s="222"/>
      <c r="P63" s="220" t="n">
        <v>26</v>
      </c>
      <c r="Q63" s="218"/>
      <c r="R63" s="219"/>
      <c r="S63" s="220" t="n">
        <v>120</v>
      </c>
      <c r="T63" s="92" t="n">
        <f aca="false">SUM(E63:S63)</f>
        <v>172</v>
      </c>
      <c r="U63" s="80" t="n">
        <f aca="false">+(E63*85)+(F63*95)+(G63*125)+(H63*100)+(I63*150)+(J63*200)+(K63*52)+(L63*65.5)+(M63*81)+(N63*48)+(O63*63)+(P63*77.5)+(Q63*46)+(R63*59)+(S63*72.5)</f>
        <v>13393</v>
      </c>
    </row>
    <row r="64" customFormat="false" ht="13.2" hidden="false" customHeight="false" outlineLevel="0" collapsed="false">
      <c r="A64" s="47" t="n">
        <v>6</v>
      </c>
      <c r="B64" s="205" t="n">
        <v>36703</v>
      </c>
      <c r="C64" s="204" t="n">
        <v>1</v>
      </c>
      <c r="D64" s="204" t="n">
        <v>4</v>
      </c>
      <c r="E64" s="218"/>
      <c r="F64" s="219"/>
      <c r="G64" s="220"/>
      <c r="H64" s="221"/>
      <c r="I64" s="222"/>
      <c r="J64" s="223"/>
      <c r="K64" s="221" t="n">
        <v>8</v>
      </c>
      <c r="L64" s="222" t="n">
        <v>5</v>
      </c>
      <c r="M64" s="223"/>
      <c r="N64" s="221"/>
      <c r="O64" s="219"/>
      <c r="P64" s="223"/>
      <c r="Q64" s="221" t="n">
        <v>18</v>
      </c>
      <c r="R64" s="219" t="n">
        <v>28</v>
      </c>
      <c r="S64" s="220"/>
      <c r="T64" s="92" t="n">
        <f aca="false">SUM(E64:S64)</f>
        <v>59</v>
      </c>
      <c r="U64" s="80" t="n">
        <f aca="false">+(E64*85)+(F64*95)+(G64*125)+(H64*100)+(I64*150)+(J64*200)+(K64*52)+(L64*65.5)+(M64*81)+(N64*48)+(O64*63)+(P64*77.5)+(Q64*46)+(R64*59)+(S64*72.5)</f>
        <v>3223.5</v>
      </c>
    </row>
    <row r="65" customFormat="false" ht="13.2" hidden="false" customHeight="false" outlineLevel="0" collapsed="false">
      <c r="A65" s="47" t="n">
        <v>7</v>
      </c>
      <c r="B65" s="205" t="n">
        <v>36704</v>
      </c>
      <c r="C65" s="204" t="n">
        <v>1</v>
      </c>
      <c r="D65" s="204" t="n">
        <v>4</v>
      </c>
      <c r="E65" s="224"/>
      <c r="F65" s="114"/>
      <c r="G65" s="225"/>
      <c r="H65" s="226"/>
      <c r="I65" s="121"/>
      <c r="J65" s="225" t="s">
        <v>196</v>
      </c>
      <c r="K65" s="227" t="n">
        <v>8</v>
      </c>
      <c r="L65" s="228" t="n">
        <v>5</v>
      </c>
      <c r="M65" s="229"/>
      <c r="N65" s="227" t="n">
        <v>8</v>
      </c>
      <c r="O65" s="230" t="n">
        <v>5</v>
      </c>
      <c r="P65" s="229"/>
      <c r="Q65" s="227" t="n">
        <v>56</v>
      </c>
      <c r="R65" s="230" t="n">
        <v>28</v>
      </c>
      <c r="S65" s="231"/>
      <c r="T65" s="92" t="n">
        <f aca="false">SUM(E65:S65)</f>
        <v>110</v>
      </c>
      <c r="U65" s="80" t="n">
        <f aca="false">+(E65*85)+(F65*95)+(G65*125)+(H65*100)+(I65*150)+(K65*52)+(L65*65.5)+(M65*81)+(N65*48)+(O65*63)+(P65*77.5)+(Q65*46)+(R65*59)+(S65*72.5)</f>
        <v>5670.5</v>
      </c>
    </row>
    <row r="66" customFormat="false" ht="13.2" hidden="false" customHeight="false" outlineLevel="0" collapsed="false">
      <c r="A66" s="47" t="n">
        <v>8</v>
      </c>
      <c r="B66" s="205" t="n">
        <v>36705</v>
      </c>
      <c r="C66" s="204" t="n">
        <v>1</v>
      </c>
      <c r="D66" s="204" t="n">
        <v>4</v>
      </c>
      <c r="E66" s="224"/>
      <c r="F66" s="114"/>
      <c r="G66" s="225"/>
      <c r="H66" s="226"/>
      <c r="I66" s="121"/>
      <c r="J66" s="225" t="s">
        <v>196</v>
      </c>
      <c r="K66" s="227" t="n">
        <v>8</v>
      </c>
      <c r="L66" s="228" t="n">
        <v>5</v>
      </c>
      <c r="M66" s="229"/>
      <c r="N66" s="227" t="n">
        <v>12</v>
      </c>
      <c r="O66" s="230" t="n">
        <v>10</v>
      </c>
      <c r="P66" s="229"/>
      <c r="Q66" s="227" t="n">
        <v>76</v>
      </c>
      <c r="R66" s="230" t="n">
        <v>48</v>
      </c>
      <c r="S66" s="231"/>
      <c r="T66" s="92" t="n">
        <f aca="false">SUM(E66:S66)</f>
        <v>159</v>
      </c>
      <c r="U66" s="80" t="n">
        <f aca="false">+(E66*85)+(F66*95)+(G66*125)+(H66*100)+(I66*150)+(K66*52)+(L66*65.5)+(M66*81)+(N66*48)+(O66*63)+(P66*77.5)+(Q66*46)+(R66*59)+(S66*72.5)</f>
        <v>8277.5</v>
      </c>
    </row>
    <row r="67" customFormat="false" ht="13.2" hidden="false" customHeight="false" outlineLevel="0" collapsed="false">
      <c r="A67" s="47" t="n">
        <v>9</v>
      </c>
      <c r="B67" s="205" t="n">
        <v>36706</v>
      </c>
      <c r="C67" s="204" t="n">
        <v>1</v>
      </c>
      <c r="D67" s="204" t="n">
        <v>4</v>
      </c>
      <c r="E67" s="224" t="n">
        <v>8</v>
      </c>
      <c r="F67" s="114" t="n">
        <v>5</v>
      </c>
      <c r="G67" s="225"/>
      <c r="H67" s="226"/>
      <c r="I67" s="114"/>
      <c r="J67" s="225"/>
      <c r="K67" s="226" t="n">
        <v>8</v>
      </c>
      <c r="L67" s="121" t="n">
        <v>5</v>
      </c>
      <c r="M67" s="232"/>
      <c r="N67" s="226" t="n">
        <v>16</v>
      </c>
      <c r="O67" s="114" t="n">
        <v>12</v>
      </c>
      <c r="P67" s="232"/>
      <c r="Q67" s="226" t="n">
        <v>96</v>
      </c>
      <c r="R67" s="114" t="n">
        <v>54</v>
      </c>
      <c r="S67" s="225"/>
      <c r="T67" s="92" t="n">
        <f aca="false">SUM(E67:S67)</f>
        <v>204</v>
      </c>
      <c r="U67" s="80" t="n">
        <f aca="false">+(E67*85)+(F67*95)+(G67*125)+(H67*100)+(I67*150)+(J67*200)+(K67*52)+(L67*65.5)+(M67*81)+(N67*48)+(O67*63)+(P67*77.5)+(Q67*46)+(R67*59)+(S67*72.5)</f>
        <v>11024.5</v>
      </c>
    </row>
    <row r="68" customFormat="false" ht="13.2" hidden="false" customHeight="false" outlineLevel="0" collapsed="false">
      <c r="A68" s="47" t="n">
        <v>10</v>
      </c>
      <c r="B68" s="205" t="n">
        <v>36707</v>
      </c>
      <c r="C68" s="204" t="n">
        <v>1</v>
      </c>
      <c r="D68" s="204" t="n">
        <v>4</v>
      </c>
      <c r="E68" s="224" t="n">
        <v>8</v>
      </c>
      <c r="F68" s="114" t="n">
        <v>5</v>
      </c>
      <c r="G68" s="225"/>
      <c r="H68" s="226"/>
      <c r="I68" s="114"/>
      <c r="J68" s="225"/>
      <c r="K68" s="226" t="n">
        <v>8</v>
      </c>
      <c r="L68" s="121" t="n">
        <v>5</v>
      </c>
      <c r="M68" s="232"/>
      <c r="N68" s="226" t="n">
        <v>16</v>
      </c>
      <c r="O68" s="114" t="n">
        <v>10</v>
      </c>
      <c r="P68" s="232"/>
      <c r="Q68" s="226" t="n">
        <v>96</v>
      </c>
      <c r="R68" s="114" t="n">
        <v>48</v>
      </c>
      <c r="S68" s="225"/>
      <c r="T68" s="92" t="n">
        <f aca="false">SUM(E68:S68)</f>
        <v>196</v>
      </c>
      <c r="U68" s="80" t="n">
        <f aca="false">+(E68*85)+(F68*95)+(G68*125)+(H68*100)+(I68*150)+(J68*200)+(K68*52)+(L68*65.5)+(M68*81)+(N68*48)+(O68*63)+(P68*77.5)+(Q68*46)+(R68*59)+(S68*72.5)</f>
        <v>10544.5</v>
      </c>
    </row>
    <row r="69" customFormat="false" ht="13.2" hidden="false" customHeight="false" outlineLevel="0" collapsed="false">
      <c r="A69" s="47" t="n">
        <v>11</v>
      </c>
      <c r="B69" s="205" t="n">
        <v>36708</v>
      </c>
      <c r="C69" s="204" t="n">
        <v>1</v>
      </c>
      <c r="D69" s="204" t="n">
        <v>4</v>
      </c>
      <c r="E69" s="224"/>
      <c r="F69" s="114" t="n">
        <v>13</v>
      </c>
      <c r="G69" s="225"/>
      <c r="H69" s="226"/>
      <c r="I69" s="121"/>
      <c r="J69" s="225" t="s">
        <v>197</v>
      </c>
      <c r="K69" s="227"/>
      <c r="L69" s="230" t="n">
        <v>13</v>
      </c>
      <c r="M69" s="229"/>
      <c r="N69" s="227"/>
      <c r="O69" s="228" t="n">
        <v>26</v>
      </c>
      <c r="P69" s="229"/>
      <c r="Q69" s="227"/>
      <c r="R69" s="230" t="n">
        <v>144</v>
      </c>
      <c r="S69" s="231"/>
      <c r="T69" s="92" t="n">
        <f aca="false">SUM(E69:S69)</f>
        <v>196</v>
      </c>
      <c r="U69" s="80" t="n">
        <f aca="false">+(E69*85)+(F69*95)+(G69*125)+(H69*100)+(I69*150)+(K69*52)+(L69*65.5)+(M69*81)+(N69*48)+(O69*63)+(P69*77.5)+(Q69*46)+(R69*59)+(S69*72.5)</f>
        <v>12220.5</v>
      </c>
    </row>
    <row r="70" customFormat="false" ht="13.2" hidden="false" customHeight="false" outlineLevel="0" collapsed="false">
      <c r="A70" s="47" t="n">
        <v>12</v>
      </c>
      <c r="B70" s="205" t="n">
        <v>36709</v>
      </c>
      <c r="C70" s="204" t="n">
        <v>1</v>
      </c>
      <c r="D70" s="204" t="n">
        <v>4</v>
      </c>
      <c r="E70" s="224"/>
      <c r="F70" s="114"/>
      <c r="G70" s="225" t="n">
        <v>13</v>
      </c>
      <c r="H70" s="226"/>
      <c r="I70" s="121"/>
      <c r="J70" s="232"/>
      <c r="K70" s="224"/>
      <c r="L70" s="121"/>
      <c r="M70" s="225" t="n">
        <v>13</v>
      </c>
      <c r="N70" s="226"/>
      <c r="O70" s="114"/>
      <c r="P70" s="232" t="n">
        <v>26</v>
      </c>
      <c r="Q70" s="226"/>
      <c r="R70" s="114"/>
      <c r="S70" s="225" t="n">
        <v>144</v>
      </c>
      <c r="T70" s="92" t="n">
        <f aca="false">SUM(E70:S70)</f>
        <v>196</v>
      </c>
      <c r="U70" s="80" t="n">
        <f aca="false">+(E70*85)+(F70*95)+(G70*125)+(H70*100)+(I70*150)+(J70*200)+(K70*52)+(L70*65.5)+(M70*81)+(N70*48)+(O70*63)+(P70*77.5)+(Q70*46)+(R70*59)+(S70*72.5)</f>
        <v>15133</v>
      </c>
    </row>
    <row r="71" customFormat="false" ht="13.2" hidden="false" customHeight="false" outlineLevel="0" collapsed="false">
      <c r="A71" s="47" t="n">
        <v>13</v>
      </c>
      <c r="B71" s="205" t="n">
        <v>36710</v>
      </c>
      <c r="C71" s="204" t="n">
        <v>1</v>
      </c>
      <c r="D71" s="204" t="n">
        <v>7</v>
      </c>
      <c r="E71" s="224" t="n">
        <v>8</v>
      </c>
      <c r="F71" s="114"/>
      <c r="G71" s="225"/>
      <c r="H71" s="226"/>
      <c r="I71" s="121"/>
      <c r="J71" s="232" t="s">
        <v>198</v>
      </c>
      <c r="K71" s="233" t="n">
        <v>8</v>
      </c>
      <c r="L71" s="234" t="n">
        <v>5</v>
      </c>
      <c r="M71" s="235"/>
      <c r="N71" s="233" t="n">
        <v>16</v>
      </c>
      <c r="O71" s="236" t="n">
        <v>10</v>
      </c>
      <c r="P71" s="235"/>
      <c r="Q71" s="237" t="n">
        <v>104</v>
      </c>
      <c r="R71" s="236" t="n">
        <v>52</v>
      </c>
      <c r="S71" s="235"/>
      <c r="T71" s="92" t="n">
        <f aca="false">SUM(E71:S71)</f>
        <v>203</v>
      </c>
      <c r="U71" s="80" t="n">
        <f aca="false">+(E71*85)+(F71*95)+(G71*125)+(H71*100)+(I71*150)+(K71*52)+(L71*65.5)+(M71*81)+(N71*48)+(O71*63)+(P71*77.5)+(Q71*46)+(R71*59)+(S71*72.5)</f>
        <v>10673.5</v>
      </c>
    </row>
    <row r="72" customFormat="false" ht="13.2" hidden="false" customHeight="false" outlineLevel="0" collapsed="false">
      <c r="A72" s="47" t="n">
        <v>14</v>
      </c>
      <c r="B72" s="205" t="n">
        <v>36711</v>
      </c>
      <c r="C72" s="204" t="n">
        <v>1</v>
      </c>
      <c r="D72" s="204" t="n">
        <v>7</v>
      </c>
      <c r="E72" s="224"/>
      <c r="F72" s="114"/>
      <c r="G72" s="225" t="n">
        <v>13</v>
      </c>
      <c r="H72" s="226"/>
      <c r="I72" s="121"/>
      <c r="J72" s="232" t="s">
        <v>198</v>
      </c>
      <c r="K72" s="233"/>
      <c r="L72" s="236"/>
      <c r="M72" s="235" t="n">
        <v>13</v>
      </c>
      <c r="N72" s="233"/>
      <c r="O72" s="236"/>
      <c r="P72" s="235" t="n">
        <v>26</v>
      </c>
      <c r="Q72" s="237"/>
      <c r="R72" s="236"/>
      <c r="S72" s="235" t="n">
        <v>156</v>
      </c>
      <c r="T72" s="92" t="n">
        <f aca="false">SUM(E72:S72)</f>
        <v>208</v>
      </c>
      <c r="U72" s="80" t="n">
        <f aca="false">+(E72*85)+(F72*95)+(G72*125)+(H72*100)+(I72*150)+(K72*52)+(L72*65.5)+(M72*81)+(N72*48)+(O72*63)+(P72*77.5)+(Q72*46)+(R72*59)+(S72*72.5)</f>
        <v>16003</v>
      </c>
    </row>
    <row r="73" customFormat="false" ht="13.2" hidden="false" customHeight="false" outlineLevel="0" collapsed="false">
      <c r="A73" s="47" t="n">
        <v>15</v>
      </c>
      <c r="B73" s="205" t="n">
        <v>36712</v>
      </c>
      <c r="C73" s="204" t="n">
        <v>1</v>
      </c>
      <c r="D73" s="204" t="n">
        <v>7</v>
      </c>
      <c r="E73" s="224" t="n">
        <v>8</v>
      </c>
      <c r="F73" s="114" t="n">
        <v>5</v>
      </c>
      <c r="G73" s="225"/>
      <c r="H73" s="226"/>
      <c r="I73" s="121"/>
      <c r="J73" s="232" t="s">
        <v>198</v>
      </c>
      <c r="K73" s="233" t="n">
        <v>8</v>
      </c>
      <c r="L73" s="234" t="n">
        <v>5</v>
      </c>
      <c r="M73" s="238"/>
      <c r="N73" s="233" t="n">
        <v>16</v>
      </c>
      <c r="O73" s="236" t="n">
        <v>10</v>
      </c>
      <c r="P73" s="238"/>
      <c r="Q73" s="233" t="n">
        <v>80</v>
      </c>
      <c r="R73" s="236" t="n">
        <v>40</v>
      </c>
      <c r="S73" s="235"/>
      <c r="T73" s="92" t="n">
        <f aca="false">SUM(E73:S73)</f>
        <v>172</v>
      </c>
      <c r="U73" s="80" t="n">
        <f aca="false">+(E73*85)+(F73*95)+(G73*125)+(H73*100)+(I73*150)+(K73*52)+(L73*65.5)+(M73*81)+(N73*48)+(O73*63)+(P73*77.5)+(Q73*46)+(R73*59)+(S73*72.5)</f>
        <v>9336.5</v>
      </c>
    </row>
    <row r="74" customFormat="false" ht="13.2" hidden="false" customHeight="false" outlineLevel="0" collapsed="false">
      <c r="A74" s="47" t="n">
        <v>16</v>
      </c>
      <c r="B74" s="205" t="n">
        <v>36713</v>
      </c>
      <c r="C74" s="204" t="n">
        <v>1</v>
      </c>
      <c r="D74" s="204" t="n">
        <v>7</v>
      </c>
      <c r="E74" s="224" t="n">
        <v>8</v>
      </c>
      <c r="F74" s="114" t="n">
        <v>5</v>
      </c>
      <c r="G74" s="225"/>
      <c r="H74" s="226"/>
      <c r="I74" s="114"/>
      <c r="J74" s="232" t="s">
        <v>198</v>
      </c>
      <c r="K74" s="233" t="n">
        <v>8</v>
      </c>
      <c r="L74" s="234" t="n">
        <v>5</v>
      </c>
      <c r="M74" s="235"/>
      <c r="N74" s="233" t="n">
        <v>16</v>
      </c>
      <c r="O74" s="236" t="n">
        <v>10</v>
      </c>
      <c r="P74" s="235"/>
      <c r="Q74" s="237" t="n">
        <v>80</v>
      </c>
      <c r="R74" s="236" t="n">
        <v>40</v>
      </c>
      <c r="S74" s="235"/>
      <c r="T74" s="92" t="n">
        <f aca="false">SUM(E74:S74)</f>
        <v>172</v>
      </c>
      <c r="U74" s="80" t="n">
        <f aca="false">+(E74*85)+(F74*95)+(G74*125)+(H74*100)+(I74*150)+(K74*52)+(L74*65.5)+(M74*81)+(N74*48)+(O74*63)+(P74*77.5)+(Q74*46)+(R74*59)+(S74*72.5)</f>
        <v>9336.5</v>
      </c>
    </row>
    <row r="75" customFormat="false" ht="13.2" hidden="false" customHeight="false" outlineLevel="0" collapsed="false">
      <c r="A75" s="47" t="n">
        <v>17</v>
      </c>
      <c r="B75" s="205" t="n">
        <v>36714</v>
      </c>
      <c r="C75" s="204" t="n">
        <v>1</v>
      </c>
      <c r="D75" s="204" t="n">
        <v>7</v>
      </c>
      <c r="E75" s="224" t="n">
        <v>8</v>
      </c>
      <c r="F75" s="114" t="n">
        <v>5</v>
      </c>
      <c r="G75" s="225"/>
      <c r="H75" s="226"/>
      <c r="I75" s="121"/>
      <c r="J75" s="232"/>
      <c r="K75" s="226" t="n">
        <v>8</v>
      </c>
      <c r="L75" s="121" t="n">
        <v>5</v>
      </c>
      <c r="M75" s="225"/>
      <c r="N75" s="226" t="n">
        <v>16</v>
      </c>
      <c r="O75" s="114" t="n">
        <v>10</v>
      </c>
      <c r="P75" s="225"/>
      <c r="Q75" s="224" t="n">
        <v>64</v>
      </c>
      <c r="R75" s="114" t="n">
        <v>32</v>
      </c>
      <c r="S75" s="225"/>
      <c r="T75" s="92" t="n">
        <f aca="false">SUM(E75:S75)</f>
        <v>148</v>
      </c>
      <c r="U75" s="80" t="n">
        <f aca="false">+(E75*85)+(F75*95)+(G75*125)+(H75*100)+(I75*150)+(J75*200)+(K75*52)+(L75*65.5)+(M75*81)+(N75*48)+(O75*63)+(P75*77.5)+(Q75*46)+(R75*59)+(S75*72.5)</f>
        <v>8128.5</v>
      </c>
    </row>
    <row r="76" customFormat="false" ht="13.2" hidden="false" customHeight="false" outlineLevel="0" collapsed="false">
      <c r="A76" s="47" t="n">
        <v>18</v>
      </c>
      <c r="B76" s="205" t="n">
        <v>36715</v>
      </c>
      <c r="C76" s="204" t="n">
        <v>1</v>
      </c>
      <c r="D76" s="204" t="n">
        <v>7</v>
      </c>
      <c r="E76" s="224"/>
      <c r="F76" s="114" t="n">
        <v>13</v>
      </c>
      <c r="G76" s="225"/>
      <c r="H76" s="226"/>
      <c r="I76" s="121"/>
      <c r="J76" s="225"/>
      <c r="K76" s="226"/>
      <c r="L76" s="114" t="n">
        <v>13</v>
      </c>
      <c r="M76" s="232"/>
      <c r="N76" s="226"/>
      <c r="O76" s="114" t="n">
        <v>26</v>
      </c>
      <c r="P76" s="232"/>
      <c r="Q76" s="224"/>
      <c r="R76" s="114" t="n">
        <v>120</v>
      </c>
      <c r="S76" s="225"/>
      <c r="T76" s="92" t="n">
        <f aca="false">SUM(E76:S76)</f>
        <v>172</v>
      </c>
      <c r="U76" s="80" t="n">
        <f aca="false">+(E76*85)+(F76*95)+(G76*125)+(H76*100)+(I76*150)+(J76*200)+(K76*52)+(L76*65.5)+(M76*81)+(N76*48)+(O76*63)+(P76*77.5)+(Q76*46)+(R76*59)+(S76*72.5)</f>
        <v>10804.5</v>
      </c>
    </row>
    <row r="77" customFormat="false" ht="13.2" hidden="false" customHeight="false" outlineLevel="0" collapsed="false">
      <c r="A77" s="47" t="n">
        <v>19</v>
      </c>
      <c r="B77" s="205" t="n">
        <v>36716</v>
      </c>
      <c r="C77" s="204" t="n">
        <v>1</v>
      </c>
      <c r="D77" s="204" t="n">
        <v>7</v>
      </c>
      <c r="E77" s="224"/>
      <c r="F77" s="114"/>
      <c r="G77" s="225" t="n">
        <v>13</v>
      </c>
      <c r="H77" s="226"/>
      <c r="I77" s="121"/>
      <c r="J77" s="232"/>
      <c r="K77" s="224"/>
      <c r="L77" s="121"/>
      <c r="M77" s="225" t="n">
        <v>13</v>
      </c>
      <c r="N77" s="224"/>
      <c r="O77" s="121"/>
      <c r="P77" s="225" t="n">
        <v>26</v>
      </c>
      <c r="Q77" s="224"/>
      <c r="R77" s="114"/>
      <c r="S77" s="225" t="n">
        <v>120</v>
      </c>
      <c r="T77" s="92" t="n">
        <f aca="false">SUM(E77:S77)</f>
        <v>172</v>
      </c>
      <c r="U77" s="80" t="n">
        <f aca="false">+(E77*85)+(F77*95)+(G77*125)+(H77*100)+(I77*150)+(J77*200)+(K77*52)+(L77*65.5)+(M77*81)+(N77*48)+(O77*63)+(P77*77.5)+(Q77*46)+(R77*59)+(S77*72.5)</f>
        <v>13393</v>
      </c>
    </row>
    <row r="78" customFormat="false" ht="13.2" hidden="false" customHeight="false" outlineLevel="0" collapsed="false">
      <c r="A78" s="47" t="n">
        <v>20</v>
      </c>
      <c r="B78" s="205" t="n">
        <v>36717</v>
      </c>
      <c r="C78" s="204" t="n">
        <v>1</v>
      </c>
      <c r="D78" s="74" t="n">
        <v>9</v>
      </c>
      <c r="E78" s="224" t="n">
        <v>8</v>
      </c>
      <c r="F78" s="114" t="n">
        <v>5</v>
      </c>
      <c r="G78" s="225"/>
      <c r="H78" s="226" t="n">
        <v>16</v>
      </c>
      <c r="I78" s="114" t="n">
        <v>5</v>
      </c>
      <c r="J78" s="225"/>
      <c r="K78" s="226" t="n">
        <v>8</v>
      </c>
      <c r="L78" s="121" t="n">
        <v>5</v>
      </c>
      <c r="M78" s="225"/>
      <c r="N78" s="226" t="n">
        <v>16</v>
      </c>
      <c r="O78" s="114" t="n">
        <v>10</v>
      </c>
      <c r="P78" s="225"/>
      <c r="Q78" s="224" t="n">
        <v>80</v>
      </c>
      <c r="R78" s="114" t="n">
        <v>40</v>
      </c>
      <c r="S78" s="225"/>
      <c r="T78" s="92" t="n">
        <f aca="false">SUM(E78:S78)</f>
        <v>193</v>
      </c>
      <c r="U78" s="80" t="n">
        <f aca="false">+(E78*85)+(F78*95)+(G78*125)+(H78*100)+(I78*150)+(J78*200)+(K78*52)+(L78*65.5)+(M78*81)+(N78*48)+(O78*63)+(P78*77.5)+(Q78*46)+(R78*59)+(S78*72.5)</f>
        <v>11686.5</v>
      </c>
    </row>
    <row r="79" customFormat="false" ht="13.2" hidden="false" customHeight="false" outlineLevel="0" collapsed="false">
      <c r="A79" s="47" t="n">
        <v>21</v>
      </c>
      <c r="B79" s="205" t="n">
        <v>36718</v>
      </c>
      <c r="C79" s="204" t="n">
        <v>1</v>
      </c>
      <c r="D79" s="74" t="n">
        <v>9</v>
      </c>
      <c r="E79" s="224" t="n">
        <v>8</v>
      </c>
      <c r="F79" s="114" t="n">
        <v>5</v>
      </c>
      <c r="G79" s="225"/>
      <c r="H79" s="226" t="n">
        <v>8</v>
      </c>
      <c r="I79" s="114" t="n">
        <v>5</v>
      </c>
      <c r="J79" s="232"/>
      <c r="K79" s="226" t="n">
        <v>8</v>
      </c>
      <c r="L79" s="121" t="n">
        <v>5</v>
      </c>
      <c r="M79" s="225"/>
      <c r="N79" s="226" t="n">
        <v>16</v>
      </c>
      <c r="O79" s="114" t="n">
        <v>10</v>
      </c>
      <c r="P79" s="225"/>
      <c r="Q79" s="224" t="n">
        <v>88</v>
      </c>
      <c r="R79" s="114" t="n">
        <v>40</v>
      </c>
      <c r="S79" s="225"/>
      <c r="T79" s="92" t="n">
        <f aca="false">SUM(E79:S79)</f>
        <v>193</v>
      </c>
      <c r="U79" s="80" t="n">
        <f aca="false">+(E79*85)+(F79*95)+(G79*125)+(H79*100)+(I79*150)+(J79*200)+(K79*52)+(L79*65.5)+(M79*81)+(N79*48)+(O79*63)+(P79*77.5)+(Q79*46)+(R79*59)+(S79*72.5)</f>
        <v>11254.5</v>
      </c>
    </row>
    <row r="80" customFormat="false" ht="13.2" hidden="false" customHeight="false" outlineLevel="0" collapsed="false">
      <c r="A80" s="47" t="n">
        <v>22</v>
      </c>
      <c r="B80" s="205" t="n">
        <v>36719</v>
      </c>
      <c r="C80" s="204" t="n">
        <v>1</v>
      </c>
      <c r="D80" s="74" t="n">
        <v>9</v>
      </c>
      <c r="E80" s="224" t="n">
        <v>8</v>
      </c>
      <c r="F80" s="114" t="n">
        <v>5</v>
      </c>
      <c r="G80" s="225"/>
      <c r="H80" s="226" t="n">
        <v>8</v>
      </c>
      <c r="I80" s="114" t="n">
        <v>5</v>
      </c>
      <c r="J80" s="225"/>
      <c r="K80" s="226" t="n">
        <v>8</v>
      </c>
      <c r="L80" s="121" t="n">
        <v>5</v>
      </c>
      <c r="M80" s="225"/>
      <c r="N80" s="226" t="n">
        <v>16</v>
      </c>
      <c r="O80" s="114" t="n">
        <v>10</v>
      </c>
      <c r="P80" s="225"/>
      <c r="Q80" s="224" t="n">
        <v>48</v>
      </c>
      <c r="R80" s="114" t="n">
        <v>20</v>
      </c>
      <c r="S80" s="225"/>
      <c r="T80" s="92" t="n">
        <f aca="false">SUM(E80:S80)</f>
        <v>133</v>
      </c>
      <c r="U80" s="80" t="n">
        <f aca="false">+(E80*85)+(F80*95)+(G80*125)+(H80*100)+(I80*150)+(J80*200)+(K80*52)+(L80*65.5)+(M80*81)+(N80*48)+(O80*63)+(P80*77.5)+(Q80*46)+(R80*59)+(S80*72.5)</f>
        <v>8234.5</v>
      </c>
    </row>
    <row r="81" customFormat="false" ht="13.2" hidden="false" customHeight="false" outlineLevel="0" collapsed="false">
      <c r="A81" s="47" t="n">
        <v>23</v>
      </c>
      <c r="B81" s="205" t="n">
        <v>36720</v>
      </c>
      <c r="C81" s="204" t="n">
        <v>1</v>
      </c>
      <c r="D81" s="74" t="n">
        <v>9</v>
      </c>
      <c r="E81" s="212" t="n">
        <v>8</v>
      </c>
      <c r="F81" s="213" t="n">
        <v>5</v>
      </c>
      <c r="G81" s="214"/>
      <c r="H81" s="215" t="n">
        <v>8</v>
      </c>
      <c r="I81" s="213" t="n">
        <v>5</v>
      </c>
      <c r="J81" s="214"/>
      <c r="K81" s="215" t="n">
        <v>8</v>
      </c>
      <c r="L81" s="216" t="n">
        <v>5</v>
      </c>
      <c r="M81" s="214"/>
      <c r="N81" s="215" t="n">
        <v>16</v>
      </c>
      <c r="O81" s="213" t="n">
        <v>10</v>
      </c>
      <c r="P81" s="214"/>
      <c r="Q81" s="212" t="n">
        <v>48</v>
      </c>
      <c r="R81" s="213" t="n">
        <v>24</v>
      </c>
      <c r="S81" s="214"/>
      <c r="T81" s="92" t="n">
        <f aca="false">SUM(E81:S81)</f>
        <v>137</v>
      </c>
      <c r="U81" s="80" t="n">
        <f aca="false">+(E81*85)+(F81*95)+(G81*125)+(H81*100)+(I81*150)+(J81*200)+(K81*52)+(L81*65.5)+(M81*81)+(N81*48)+(O81*63)+(P81*77.5)+(Q81*46)+(R81*59)+(S81*72.5)</f>
        <v>8470.5</v>
      </c>
    </row>
    <row r="82" customFormat="false" ht="13.2" hidden="false" customHeight="false" outlineLevel="0" collapsed="false">
      <c r="A82" s="47" t="n">
        <v>24</v>
      </c>
      <c r="B82" s="205" t="n">
        <v>36721</v>
      </c>
      <c r="C82" s="204" t="n">
        <v>1</v>
      </c>
      <c r="D82" s="74" t="n">
        <v>9</v>
      </c>
      <c r="E82" s="212" t="n">
        <v>8</v>
      </c>
      <c r="F82" s="213" t="n">
        <v>5</v>
      </c>
      <c r="G82" s="214"/>
      <c r="H82" s="215" t="n">
        <v>8</v>
      </c>
      <c r="I82" s="213" t="n">
        <v>5</v>
      </c>
      <c r="J82" s="214"/>
      <c r="K82" s="215" t="n">
        <v>8</v>
      </c>
      <c r="L82" s="216" t="n">
        <v>5</v>
      </c>
      <c r="M82" s="214"/>
      <c r="N82" s="215" t="n">
        <v>16</v>
      </c>
      <c r="O82" s="213" t="n">
        <v>10</v>
      </c>
      <c r="P82" s="214"/>
      <c r="Q82" s="212" t="n">
        <v>104</v>
      </c>
      <c r="R82" s="213" t="n">
        <v>36</v>
      </c>
      <c r="S82" s="214"/>
      <c r="T82" s="92" t="n">
        <f aca="false">SUM(E82:S82)</f>
        <v>205</v>
      </c>
      <c r="U82" s="80" t="n">
        <f aca="false">+(E82*85)+(F82*95)+(G82*125)+(H82*100)+(I82*150)+(J82*200)+(K82*52)+(L82*65.5)+(M82*81)+(N82*48)+(O82*63)+(P82*77.5)+(Q82*46)+(R82*59)+(S82*72.5)</f>
        <v>11754.5</v>
      </c>
    </row>
    <row r="83" customFormat="false" ht="13.2" hidden="false" customHeight="false" outlineLevel="0" collapsed="false">
      <c r="A83" s="47" t="n">
        <v>25</v>
      </c>
      <c r="B83" s="205" t="n">
        <v>36722</v>
      </c>
      <c r="C83" s="204" t="n">
        <v>1</v>
      </c>
      <c r="D83" s="74" t="n">
        <v>9</v>
      </c>
      <c r="E83" s="212"/>
      <c r="F83" s="213" t="n">
        <v>13</v>
      </c>
      <c r="G83" s="214"/>
      <c r="H83" s="215"/>
      <c r="I83" s="216" t="n">
        <v>13</v>
      </c>
      <c r="J83" s="214"/>
      <c r="K83" s="215"/>
      <c r="L83" s="213" t="n">
        <v>13</v>
      </c>
      <c r="M83" s="217"/>
      <c r="N83" s="215"/>
      <c r="O83" s="213" t="n">
        <v>26</v>
      </c>
      <c r="P83" s="217"/>
      <c r="Q83" s="212"/>
      <c r="R83" s="213" t="n">
        <v>144</v>
      </c>
      <c r="S83" s="214"/>
      <c r="T83" s="92" t="n">
        <f aca="false">SUM(E83:S83)</f>
        <v>209</v>
      </c>
      <c r="U83" s="80" t="n">
        <f aca="false">+(E83*85)+(F83*95)+(G83*125)+(H83*100)+(I83*150)+(J83*200)+(K83*52)+(L83*65.5)+(M83*81)+(N83*48)+(O83*63)+(P83*77.5)+(Q83*46)+(R83*59)+(S83*72.5)</f>
        <v>14170.5</v>
      </c>
    </row>
    <row r="84" customFormat="false" ht="13.2" hidden="false" customHeight="false" outlineLevel="0" collapsed="false">
      <c r="A84" s="47" t="n">
        <v>26</v>
      </c>
      <c r="B84" s="205" t="n">
        <v>36723</v>
      </c>
      <c r="C84" s="204" t="n">
        <v>1</v>
      </c>
      <c r="D84" s="74" t="n">
        <v>9</v>
      </c>
      <c r="E84" s="212"/>
      <c r="F84" s="213"/>
      <c r="G84" s="214" t="n">
        <v>13</v>
      </c>
      <c r="H84" s="215"/>
      <c r="I84" s="216"/>
      <c r="J84" s="217" t="n">
        <v>13</v>
      </c>
      <c r="K84" s="212"/>
      <c r="L84" s="216"/>
      <c r="M84" s="214" t="n">
        <v>13</v>
      </c>
      <c r="N84" s="212"/>
      <c r="O84" s="216"/>
      <c r="P84" s="214" t="n">
        <v>26</v>
      </c>
      <c r="Q84" s="212"/>
      <c r="R84" s="213"/>
      <c r="S84" s="214" t="n">
        <v>144</v>
      </c>
      <c r="T84" s="92" t="n">
        <f aca="false">SUM(E84:S84)</f>
        <v>209</v>
      </c>
      <c r="U84" s="80" t="n">
        <f aca="false">+(E84*85)+(F84*95)+(G84*125)+(H84*100)+(I84*150)+(J84*200)+(K84*52)+(L84*65.5)+(M84*81)+(N84*48)+(O84*63)+(P84*77.5)+(Q84*46)+(R84*59)+(S84*72.5)</f>
        <v>17733</v>
      </c>
    </row>
    <row r="85" customFormat="false" ht="13.2" hidden="false" customHeight="false" outlineLevel="0" collapsed="false">
      <c r="A85" s="47" t="n">
        <v>27</v>
      </c>
      <c r="B85" s="205" t="n">
        <v>36724</v>
      </c>
      <c r="C85" s="204" t="n">
        <v>1</v>
      </c>
      <c r="D85" s="74" t="n">
        <v>11</v>
      </c>
      <c r="E85" s="212" t="n">
        <v>8</v>
      </c>
      <c r="F85" s="213" t="n">
        <v>5</v>
      </c>
      <c r="G85" s="214"/>
      <c r="H85" s="215" t="n">
        <v>8</v>
      </c>
      <c r="I85" s="213" t="n">
        <v>5</v>
      </c>
      <c r="J85" s="217"/>
      <c r="K85" s="215" t="n">
        <v>8</v>
      </c>
      <c r="L85" s="216" t="n">
        <v>5</v>
      </c>
      <c r="M85" s="214"/>
      <c r="N85" s="215" t="n">
        <v>16</v>
      </c>
      <c r="O85" s="213" t="n">
        <v>10</v>
      </c>
      <c r="P85" s="214"/>
      <c r="Q85" s="212" t="n">
        <v>88</v>
      </c>
      <c r="R85" s="213" t="n">
        <v>44</v>
      </c>
      <c r="S85" s="214"/>
      <c r="T85" s="92" t="n">
        <f aca="false">SUM(E85:S85)</f>
        <v>197</v>
      </c>
      <c r="U85" s="80" t="n">
        <f aca="false">+(E85*85)+(F85*95)+(G85*125)+(H85*100)+(I85*150)+(J85*200)+(K85*52)+(L85*65.5)+(M85*81)+(N85*48)+(O85*63)+(P85*77.5)+(Q85*46)+(R85*59)+(S85*72.5)</f>
        <v>11490.5</v>
      </c>
    </row>
    <row r="86" customFormat="false" ht="13.2" hidden="false" customHeight="false" outlineLevel="0" collapsed="false">
      <c r="A86" s="47" t="n">
        <v>28</v>
      </c>
      <c r="B86" s="205" t="n">
        <v>36725</v>
      </c>
      <c r="C86" s="204" t="n">
        <v>1</v>
      </c>
      <c r="D86" s="74" t="n">
        <v>11</v>
      </c>
      <c r="E86" s="212" t="n">
        <v>8</v>
      </c>
      <c r="F86" s="213" t="n">
        <v>5</v>
      </c>
      <c r="G86" s="214"/>
      <c r="H86" s="215" t="n">
        <v>8</v>
      </c>
      <c r="I86" s="213" t="n">
        <v>5</v>
      </c>
      <c r="J86" s="217"/>
      <c r="K86" s="215" t="n">
        <v>8</v>
      </c>
      <c r="L86" s="216" t="n">
        <v>5</v>
      </c>
      <c r="M86" s="214"/>
      <c r="N86" s="215" t="n">
        <v>16</v>
      </c>
      <c r="O86" s="213" t="n">
        <v>10</v>
      </c>
      <c r="P86" s="214"/>
      <c r="Q86" s="212" t="n">
        <v>88</v>
      </c>
      <c r="R86" s="213" t="n">
        <v>44</v>
      </c>
      <c r="S86" s="214"/>
      <c r="T86" s="92" t="n">
        <f aca="false">SUM(E86:S86)</f>
        <v>197</v>
      </c>
      <c r="U86" s="80" t="n">
        <f aca="false">+(E86*85)+(F86*95)+(G86*125)+(H86*100)+(I86*150)+(J86*200)+(K86*52)+(L86*65.5)+(M86*81)+(N86*48)+(O86*63)+(P86*77.5)+(Q86*46)+(R86*59)+(S86*72.5)</f>
        <v>11490.5</v>
      </c>
    </row>
    <row r="87" customFormat="false" ht="13.2" hidden="false" customHeight="false" outlineLevel="0" collapsed="false">
      <c r="A87" s="47" t="n">
        <v>29</v>
      </c>
      <c r="B87" s="205" t="n">
        <v>36726</v>
      </c>
      <c r="C87" s="204" t="n">
        <v>1</v>
      </c>
      <c r="D87" s="74" t="n">
        <v>11</v>
      </c>
      <c r="E87" s="212" t="n">
        <v>8</v>
      </c>
      <c r="F87" s="213" t="n">
        <v>6</v>
      </c>
      <c r="G87" s="214"/>
      <c r="H87" s="215" t="n">
        <v>8</v>
      </c>
      <c r="I87" s="213" t="n">
        <v>5</v>
      </c>
      <c r="J87" s="217"/>
      <c r="K87" s="215" t="n">
        <v>8</v>
      </c>
      <c r="L87" s="216" t="n">
        <v>5</v>
      </c>
      <c r="M87" s="214"/>
      <c r="N87" s="215" t="n">
        <v>16</v>
      </c>
      <c r="O87" s="213" t="n">
        <v>10</v>
      </c>
      <c r="P87" s="214"/>
      <c r="Q87" s="212" t="n">
        <v>88</v>
      </c>
      <c r="R87" s="213" t="n">
        <v>44</v>
      </c>
      <c r="S87" s="214"/>
      <c r="T87" s="92" t="n">
        <f aca="false">SUM(E87:S87)</f>
        <v>198</v>
      </c>
      <c r="U87" s="80" t="n">
        <f aca="false">+(E87*85)+(F87*95)+(G87*125)+(H87*100)+(I87*150)+(J87*200)+(K87*52)+(L87*65.5)+(M87*81)+(N87*48)+(O87*63)+(P87*77.5)+(Q87*46)+(R87*59)+(S87*72.5)</f>
        <v>11585.5</v>
      </c>
    </row>
    <row r="88" customFormat="false" ht="13.2" hidden="false" customHeight="false" outlineLevel="0" collapsed="false">
      <c r="A88" s="47" t="n">
        <v>30</v>
      </c>
      <c r="B88" s="205" t="n">
        <v>36727</v>
      </c>
      <c r="C88" s="204" t="n">
        <v>1</v>
      </c>
      <c r="D88" s="74" t="n">
        <v>11</v>
      </c>
      <c r="E88" s="212" t="n">
        <v>8</v>
      </c>
      <c r="F88" s="213" t="n">
        <v>8</v>
      </c>
      <c r="G88" s="214"/>
      <c r="H88" s="215" t="n">
        <v>8</v>
      </c>
      <c r="I88" s="213"/>
      <c r="J88" s="217"/>
      <c r="K88" s="215" t="n">
        <v>8</v>
      </c>
      <c r="L88" s="216" t="n">
        <v>8</v>
      </c>
      <c r="M88" s="214"/>
      <c r="N88" s="215" t="n">
        <v>16</v>
      </c>
      <c r="O88" s="213" t="n">
        <v>16</v>
      </c>
      <c r="P88" s="214"/>
      <c r="Q88" s="212" t="n">
        <v>88</v>
      </c>
      <c r="R88" s="213" t="n">
        <v>78</v>
      </c>
      <c r="S88" s="214"/>
      <c r="T88" s="92" t="n">
        <f aca="false">SUM(E88:S88)</f>
        <v>238</v>
      </c>
      <c r="U88" s="80" t="n">
        <f aca="false">+(E88*85)+(F88*95)+(G88*125)+(H88*100)+(I88*150)+(J88*200)+(K88*52)+(L88*65.5)+(M88*81)+(N88*48)+(O88*63)+(P88*77.5)+(Q88*46)+(R88*59)+(S88*72.5)</f>
        <v>13606</v>
      </c>
    </row>
    <row r="89" customFormat="false" ht="13.2" hidden="false" customHeight="false" outlineLevel="0" collapsed="false">
      <c r="A89" s="47" t="n">
        <v>31</v>
      </c>
      <c r="B89" s="205" t="n">
        <v>36728</v>
      </c>
      <c r="C89" s="204" t="n">
        <v>1</v>
      </c>
      <c r="D89" s="74" t="n">
        <v>11</v>
      </c>
      <c r="E89" s="212" t="n">
        <v>8</v>
      </c>
      <c r="F89" s="213" t="n">
        <v>5</v>
      </c>
      <c r="G89" s="214"/>
      <c r="H89" s="215" t="n">
        <v>8</v>
      </c>
      <c r="I89" s="213" t="n">
        <v>5</v>
      </c>
      <c r="J89" s="217"/>
      <c r="K89" s="215" t="n">
        <v>8</v>
      </c>
      <c r="L89" s="216" t="n">
        <v>5</v>
      </c>
      <c r="M89" s="214"/>
      <c r="N89" s="215" t="n">
        <v>16</v>
      </c>
      <c r="O89" s="213" t="n">
        <v>10</v>
      </c>
      <c r="P89" s="214"/>
      <c r="Q89" s="212" t="n">
        <v>96</v>
      </c>
      <c r="R89" s="213" t="n">
        <v>49</v>
      </c>
      <c r="S89" s="214"/>
      <c r="T89" s="92" t="n">
        <f aca="false">SUM(E89:S89)</f>
        <v>210</v>
      </c>
      <c r="U89" s="80" t="n">
        <f aca="false">+(E89*85)+(F89*95)+(G89*125)+(H89*100)+(I89*150)+(J89*200)+(K89*52)+(L89*65.5)+(M89*81)+(N89*48)+(O89*63)+(P89*77.5)+(Q89*46)+(R89*59)+(S89*72.5)</f>
        <v>12153.5</v>
      </c>
    </row>
    <row r="90" customFormat="false" ht="13.2" hidden="false" customHeight="false" outlineLevel="0" collapsed="false">
      <c r="A90" s="47" t="n">
        <v>32</v>
      </c>
      <c r="B90" s="205" t="n">
        <v>36729</v>
      </c>
      <c r="C90" s="204" t="n">
        <v>1</v>
      </c>
      <c r="D90" s="74" t="n">
        <v>11</v>
      </c>
      <c r="E90" s="212"/>
      <c r="F90" s="213" t="n">
        <v>13</v>
      </c>
      <c r="G90" s="214"/>
      <c r="H90" s="215"/>
      <c r="I90" s="216" t="n">
        <v>13</v>
      </c>
      <c r="J90" s="214"/>
      <c r="K90" s="215"/>
      <c r="L90" s="213" t="n">
        <v>13</v>
      </c>
      <c r="M90" s="217"/>
      <c r="N90" s="215"/>
      <c r="O90" s="213" t="n">
        <v>16</v>
      </c>
      <c r="P90" s="217"/>
      <c r="Q90" s="212"/>
      <c r="R90" s="213" t="n">
        <v>116</v>
      </c>
      <c r="S90" s="214"/>
      <c r="T90" s="92" t="n">
        <f aca="false">SUM(E90:S90)</f>
        <v>171</v>
      </c>
      <c r="U90" s="80" t="n">
        <f aca="false">+(E90*85)+(F90*95)+(G90*125)+(H90*100)+(I90*150)+(J90*200)+(K90*52)+(L90*65.5)+(M90*81)+(N90*48)+(O90*63)+(P90*77.5)+(Q90*46)+(R90*59)+(S90*72.5)</f>
        <v>11888.5</v>
      </c>
    </row>
    <row r="91" customFormat="false" ht="13.2" hidden="false" customHeight="false" outlineLevel="0" collapsed="false">
      <c r="A91" s="47" t="n">
        <v>33</v>
      </c>
      <c r="B91" s="205" t="n">
        <v>36730</v>
      </c>
      <c r="C91" s="204" t="n">
        <v>1</v>
      </c>
      <c r="D91" s="74" t="n">
        <v>11</v>
      </c>
      <c r="E91" s="212"/>
      <c r="F91" s="213"/>
      <c r="G91" s="214" t="n">
        <v>13</v>
      </c>
      <c r="H91" s="215"/>
      <c r="I91" s="216"/>
      <c r="J91" s="217" t="n">
        <v>13</v>
      </c>
      <c r="K91" s="215"/>
      <c r="L91" s="216"/>
      <c r="M91" s="214" t="n">
        <v>13</v>
      </c>
      <c r="N91" s="215"/>
      <c r="O91" s="216"/>
      <c r="P91" s="214"/>
      <c r="Q91" s="212"/>
      <c r="R91" s="213"/>
      <c r="S91" s="214" t="n">
        <v>52</v>
      </c>
      <c r="T91" s="92" t="n">
        <f aca="false">SUM(E91:S91)</f>
        <v>91</v>
      </c>
      <c r="U91" s="80" t="n">
        <f aca="false">+(E91*85)+(F91*95)+(G91*125)+(H91*100)+(I91*150)+(J91*200)+(K91*52)+(L91*65.5)+(M91*81)+(N91*48)+(O91*63)+(P91*77.5)+(Q91*46)+(R91*59)+(S91*72.5)</f>
        <v>9048</v>
      </c>
    </row>
    <row r="92" customFormat="false" ht="13.2" hidden="false" customHeight="false" outlineLevel="0" collapsed="false">
      <c r="A92" s="47" t="n">
        <v>34</v>
      </c>
      <c r="B92" s="205" t="n">
        <v>36731</v>
      </c>
      <c r="C92" s="204" t="n">
        <v>1</v>
      </c>
      <c r="D92" s="74" t="n">
        <v>12</v>
      </c>
      <c r="E92" s="239" t="n">
        <v>8</v>
      </c>
      <c r="F92" s="230" t="n">
        <v>5</v>
      </c>
      <c r="G92" s="231"/>
      <c r="H92" s="227" t="n">
        <v>8</v>
      </c>
      <c r="I92" s="230" t="n">
        <v>5</v>
      </c>
      <c r="J92" s="229"/>
      <c r="K92" s="227" t="n">
        <v>8</v>
      </c>
      <c r="L92" s="228" t="n">
        <v>5</v>
      </c>
      <c r="M92" s="231"/>
      <c r="N92" s="239"/>
      <c r="O92" s="230"/>
      <c r="P92" s="231"/>
      <c r="Q92" s="239" t="n">
        <v>32</v>
      </c>
      <c r="R92" s="230" t="n">
        <v>16</v>
      </c>
      <c r="S92" s="231"/>
      <c r="T92" s="92" t="n">
        <f aca="false">SUM(E92:S92)</f>
        <v>87</v>
      </c>
      <c r="U92" s="80" t="n">
        <f aca="false">+(E92*85)+(F92*95)+(G92*125)+(H92*100)+(I92*150)+(J92*200)+(K92*52)+(L92*65.5)+(M92*81)+(N92*48)+(O92*63)+(P92*77.5)+(Q92*46)+(R92*59)+(S92*72.5)</f>
        <v>5864.5</v>
      </c>
    </row>
    <row r="93" customFormat="false" ht="13.2" hidden="false" customHeight="false" outlineLevel="0" collapsed="false">
      <c r="A93" s="47" t="n">
        <v>35</v>
      </c>
      <c r="B93" s="205" t="n">
        <v>36732</v>
      </c>
      <c r="C93" s="204" t="n">
        <v>1</v>
      </c>
      <c r="D93" s="74" t="n">
        <v>12</v>
      </c>
      <c r="E93" s="239" t="n">
        <v>8</v>
      </c>
      <c r="F93" s="230" t="n">
        <v>5</v>
      </c>
      <c r="G93" s="231"/>
      <c r="H93" s="227" t="n">
        <v>8</v>
      </c>
      <c r="I93" s="230" t="n">
        <v>5</v>
      </c>
      <c r="J93" s="229"/>
      <c r="K93" s="227" t="n">
        <v>8</v>
      </c>
      <c r="L93" s="228" t="n">
        <v>5</v>
      </c>
      <c r="M93" s="231"/>
      <c r="N93" s="239"/>
      <c r="O93" s="230"/>
      <c r="P93" s="231"/>
      <c r="Q93" s="239" t="n">
        <v>32</v>
      </c>
      <c r="R93" s="230" t="n">
        <v>16</v>
      </c>
      <c r="S93" s="231"/>
      <c r="T93" s="92" t="n">
        <f aca="false">SUM(E93:S93)</f>
        <v>87</v>
      </c>
      <c r="U93" s="80" t="n">
        <f aca="false">+(E93*85)+(F93*95)+(G93*125)+(H93*100)+(I93*150)+(J93*200)+(K93*52)+(L93*65.5)+(M93*81)+(N93*48)+(O93*63)+(P93*77.5)+(Q93*46)+(R93*59)+(S93*72.5)</f>
        <v>5864.5</v>
      </c>
    </row>
    <row r="94" customFormat="false" ht="13.2" hidden="false" customHeight="false" outlineLevel="0" collapsed="false">
      <c r="A94" s="47" t="n">
        <v>36</v>
      </c>
      <c r="B94" s="205" t="n">
        <v>36733</v>
      </c>
      <c r="C94" s="204" t="n">
        <v>1</v>
      </c>
      <c r="D94" s="74" t="n">
        <v>12</v>
      </c>
      <c r="E94" s="239" t="n">
        <v>8</v>
      </c>
      <c r="F94" s="230"/>
      <c r="G94" s="231"/>
      <c r="H94" s="227" t="n">
        <v>8</v>
      </c>
      <c r="I94" s="230" t="n">
        <v>5</v>
      </c>
      <c r="J94" s="229"/>
      <c r="K94" s="227" t="n">
        <v>8</v>
      </c>
      <c r="L94" s="228"/>
      <c r="M94" s="231"/>
      <c r="N94" s="239"/>
      <c r="O94" s="230"/>
      <c r="P94" s="231"/>
      <c r="Q94" s="239" t="n">
        <v>32</v>
      </c>
      <c r="R94" s="230" t="n">
        <v>16</v>
      </c>
      <c r="S94" s="231"/>
      <c r="T94" s="92" t="n">
        <f aca="false">SUM(E94:S94)</f>
        <v>77</v>
      </c>
      <c r="U94" s="80" t="n">
        <f aca="false">+(E94*85)+(F94*95)+(G94*125)+(H94*100)+(I94*150)+(J94*200)+(K94*52)+(L94*65.5)+(M94*81)+(N94*48)+(O94*63)+(P94*77.5)+(Q94*46)+(R94*59)+(S94*72.5)</f>
        <v>5062</v>
      </c>
    </row>
    <row r="95" customFormat="false" ht="13.2" hidden="false" customHeight="false" outlineLevel="0" collapsed="false">
      <c r="A95" s="47" t="n">
        <v>37</v>
      </c>
      <c r="B95" s="205" t="n">
        <v>36734</v>
      </c>
      <c r="C95" s="204" t="n">
        <v>1</v>
      </c>
      <c r="D95" s="74" t="n">
        <v>12</v>
      </c>
      <c r="E95" s="239" t="n">
        <v>8</v>
      </c>
      <c r="F95" s="230"/>
      <c r="G95" s="231"/>
      <c r="H95" s="227" t="n">
        <v>8</v>
      </c>
      <c r="I95" s="230" t="n">
        <v>5</v>
      </c>
      <c r="J95" s="229"/>
      <c r="K95" s="227" t="n">
        <v>8</v>
      </c>
      <c r="L95" s="228"/>
      <c r="M95" s="231"/>
      <c r="N95" s="239"/>
      <c r="O95" s="230"/>
      <c r="P95" s="231"/>
      <c r="Q95" s="239" t="n">
        <v>32</v>
      </c>
      <c r="R95" s="230" t="n">
        <v>16</v>
      </c>
      <c r="S95" s="231"/>
      <c r="T95" s="92" t="n">
        <f aca="false">SUM(E95:S95)</f>
        <v>77</v>
      </c>
      <c r="U95" s="80" t="n">
        <f aca="false">+(E95*85)+(F95*95)+(G95*125)+(H95*100)+(I95*150)+(J95*200)+(K95*52)+(L95*65.5)+(M95*81)+(N95*48)+(O95*63)+(P95*77.5)+(Q95*46)+(R95*59)+(S95*72.5)</f>
        <v>5062</v>
      </c>
    </row>
    <row r="96" customFormat="false" ht="13.2" hidden="false" customHeight="false" outlineLevel="0" collapsed="false">
      <c r="A96" s="47" t="n">
        <v>38</v>
      </c>
      <c r="B96" s="205" t="n">
        <v>36735</v>
      </c>
      <c r="C96" s="204" t="n">
        <v>1</v>
      </c>
      <c r="D96" s="74" t="n">
        <v>12</v>
      </c>
      <c r="E96" s="239" t="n">
        <v>8</v>
      </c>
      <c r="F96" s="230"/>
      <c r="G96" s="231"/>
      <c r="H96" s="227" t="n">
        <v>8</v>
      </c>
      <c r="I96" s="230" t="n">
        <v>5</v>
      </c>
      <c r="J96" s="229"/>
      <c r="K96" s="227" t="n">
        <v>8</v>
      </c>
      <c r="L96" s="228"/>
      <c r="M96" s="231"/>
      <c r="N96" s="239"/>
      <c r="O96" s="230"/>
      <c r="P96" s="231"/>
      <c r="Q96" s="239" t="n">
        <v>32</v>
      </c>
      <c r="R96" s="230" t="n">
        <v>16</v>
      </c>
      <c r="S96" s="231"/>
      <c r="T96" s="92" t="n">
        <f aca="false">SUM(E96:S96)</f>
        <v>77</v>
      </c>
      <c r="U96" s="80" t="n">
        <f aca="false">+(E96*85)+(F96*95)+(G96*125)+(H96*100)+(I96*150)+(J96*200)+(K96*52)+(L96*65.5)+(M96*81)+(N96*48)+(O96*63)+(P96*77.5)+(Q96*46)+(R96*59)+(S96*72.5)</f>
        <v>5062</v>
      </c>
    </row>
    <row r="97" customFormat="false" ht="13.2" hidden="false" customHeight="false" outlineLevel="0" collapsed="false">
      <c r="A97" s="47" t="n">
        <v>39</v>
      </c>
      <c r="B97" s="205" t="n">
        <v>36736</v>
      </c>
      <c r="C97" s="204" t="n">
        <v>1</v>
      </c>
      <c r="D97" s="74" t="n">
        <v>12</v>
      </c>
      <c r="E97" s="239"/>
      <c r="F97" s="230"/>
      <c r="G97" s="231"/>
      <c r="H97" s="227"/>
      <c r="I97" s="230" t="n">
        <v>13</v>
      </c>
      <c r="J97" s="229"/>
      <c r="K97" s="227"/>
      <c r="L97" s="230"/>
      <c r="M97" s="231"/>
      <c r="N97" s="227"/>
      <c r="O97" s="230"/>
      <c r="P97" s="231"/>
      <c r="Q97" s="239"/>
      <c r="R97" s="230" t="n">
        <v>48</v>
      </c>
      <c r="S97" s="231"/>
      <c r="T97" s="92" t="n">
        <f aca="false">SUM(E97:S97)</f>
        <v>61</v>
      </c>
      <c r="U97" s="80" t="n">
        <f aca="false">+(E97*85)+(F97*95)+(G97*125)+(H97*100)+(I97*150)+(J97*200)+(K97*52)+(L97*65.5)+(M97*81)+(N97*48)+(O97*63)+(P97*77.5)+(Q97*46)+(R97*59)+(S97*72.5)</f>
        <v>4782</v>
      </c>
      <c r="X97" s="92"/>
    </row>
    <row r="98" customFormat="false" ht="13.2" hidden="false" customHeight="false" outlineLevel="0" collapsed="false">
      <c r="A98" s="47" t="n">
        <v>40</v>
      </c>
      <c r="B98" s="205" t="n">
        <v>36737</v>
      </c>
      <c r="C98" s="204" t="n">
        <v>1</v>
      </c>
      <c r="D98" s="74" t="n">
        <v>12</v>
      </c>
      <c r="E98" s="239"/>
      <c r="F98" s="230"/>
      <c r="G98" s="231"/>
      <c r="H98" s="227"/>
      <c r="I98" s="230"/>
      <c r="J98" s="229" t="n">
        <v>13</v>
      </c>
      <c r="K98" s="227"/>
      <c r="L98" s="230"/>
      <c r="M98" s="231"/>
      <c r="N98" s="227"/>
      <c r="O98" s="230"/>
      <c r="P98" s="231"/>
      <c r="Q98" s="239"/>
      <c r="R98" s="230"/>
      <c r="S98" s="231" t="n">
        <v>48</v>
      </c>
      <c r="T98" s="92" t="n">
        <f aca="false">SUM(E98:S98)</f>
        <v>61</v>
      </c>
      <c r="U98" s="80" t="n">
        <f aca="false">+(E98*85)+(F98*95)+(G98*125)+(H98*100)+(I98*150)+(J98*200)+(K98*52)+(L98*65.5)+(M98*81)+(N98*48)+(O98*63)+(P98*77.5)+(Q98*46)+(R98*59)+(S98*72.5)</f>
        <v>6080</v>
      </c>
      <c r="X98" s="92"/>
    </row>
    <row r="99" customFormat="false" ht="6.75" hidden="false" customHeight="true" outlineLevel="0" collapsed="false">
      <c r="E99" s="240"/>
      <c r="F99" s="241"/>
      <c r="G99" s="242"/>
      <c r="H99" s="240"/>
      <c r="I99" s="241"/>
      <c r="J99" s="242"/>
      <c r="K99" s="243"/>
      <c r="L99" s="244"/>
      <c r="M99" s="245"/>
      <c r="N99" s="243"/>
      <c r="O99" s="244"/>
      <c r="P99" s="245"/>
      <c r="Q99" s="243"/>
      <c r="R99" s="244"/>
      <c r="S99" s="245"/>
      <c r="T99" s="92"/>
      <c r="U99" s="80"/>
      <c r="X99" s="92"/>
    </row>
    <row r="100" customFormat="false" ht="13.2" hidden="false" customHeight="false" outlineLevel="0" collapsed="false">
      <c r="B100" s="73" t="s">
        <v>156</v>
      </c>
      <c r="C100" s="82"/>
      <c r="D100" s="82"/>
      <c r="E100" s="203" t="n">
        <f aca="false">SUM(E59:E99)</f>
        <v>192</v>
      </c>
      <c r="F100" s="203" t="n">
        <f aca="false">SUM(F59:F99)</f>
        <v>159</v>
      </c>
      <c r="G100" s="203" t="n">
        <f aca="false">SUM(G59:G99)</f>
        <v>78</v>
      </c>
      <c r="H100" s="203" t="n">
        <f aca="false">SUM(H59:H99)</f>
        <v>128</v>
      </c>
      <c r="I100" s="203" t="n">
        <f aca="false">SUM(I59:I99)</f>
        <v>109</v>
      </c>
      <c r="J100" s="203" t="n">
        <f aca="false">SUM(J59:J99)</f>
        <v>39</v>
      </c>
      <c r="K100" s="203" t="n">
        <f aca="false">SUM(K59:K99)</f>
        <v>216</v>
      </c>
      <c r="L100" s="203" t="n">
        <f aca="false">SUM(L59:L99)</f>
        <v>183</v>
      </c>
      <c r="M100" s="203" t="n">
        <f aca="false">SUM(M59:M99)</f>
        <v>78</v>
      </c>
      <c r="N100" s="203" t="n">
        <f aca="false">SUM(N59:N99)</f>
        <v>324</v>
      </c>
      <c r="O100" s="203" t="n">
        <f aca="false">SUM(O59:O99)</f>
        <v>310</v>
      </c>
      <c r="P100" s="203" t="n">
        <f aca="false">SUM(P59:P99)</f>
        <v>130</v>
      </c>
      <c r="Q100" s="203" t="n">
        <f aca="false">SUM(Q59:Q99)</f>
        <v>1926</v>
      </c>
      <c r="R100" s="203" t="n">
        <f aca="false">SUM(R59:R99)</f>
        <v>1553</v>
      </c>
      <c r="S100" s="203" t="n">
        <f aca="false">SUM(S59:S99)</f>
        <v>784</v>
      </c>
      <c r="T100" s="203" t="n">
        <f aca="false">SUM(T59:T99)</f>
        <v>6209</v>
      </c>
      <c r="U100" s="75" t="n">
        <f aca="false">SUM(U59:U99)</f>
        <v>389881.5</v>
      </c>
      <c r="X100" s="92"/>
    </row>
    <row r="101" customFormat="false" ht="13.2" hidden="false" customHeight="false" outlineLevel="0" collapsed="false">
      <c r="B101" s="73" t="s">
        <v>199</v>
      </c>
      <c r="C101" s="246"/>
      <c r="D101" s="246"/>
      <c r="E101" s="75" t="n">
        <v>85</v>
      </c>
      <c r="F101" s="75" t="n">
        <v>95</v>
      </c>
      <c r="G101" s="80" t="n">
        <v>125</v>
      </c>
      <c r="H101" s="75" t="n">
        <v>100</v>
      </c>
      <c r="I101" s="75" t="n">
        <v>150</v>
      </c>
      <c r="J101" s="80" t="n">
        <v>200</v>
      </c>
      <c r="K101" s="80" t="n">
        <v>52</v>
      </c>
      <c r="L101" s="80" t="n">
        <v>65.5</v>
      </c>
      <c r="M101" s="80" t="n">
        <v>81</v>
      </c>
      <c r="N101" s="80" t="n">
        <v>48</v>
      </c>
      <c r="O101" s="80" t="n">
        <v>63</v>
      </c>
      <c r="P101" s="80" t="n">
        <v>77.5</v>
      </c>
      <c r="Q101" s="80" t="n">
        <v>46</v>
      </c>
      <c r="R101" s="80" t="n">
        <v>59</v>
      </c>
      <c r="S101" s="80" t="n">
        <v>72.5</v>
      </c>
      <c r="T101" s="80"/>
      <c r="U101" s="80"/>
      <c r="X101" s="92"/>
    </row>
    <row r="102" customFormat="false" ht="13.2" hidden="false" customHeight="false" outlineLevel="0" collapsed="false">
      <c r="B102" s="73" t="s">
        <v>200</v>
      </c>
      <c r="C102" s="246"/>
      <c r="D102" s="74"/>
      <c r="E102" s="247" t="n">
        <f aca="false">SUM(E59:E99)*E101</f>
        <v>16320</v>
      </c>
      <c r="F102" s="247" t="n">
        <f aca="false">SUM(F59:F99)*F101</f>
        <v>15105</v>
      </c>
      <c r="G102" s="247" t="n">
        <f aca="false">SUM(G59:G99)*G101</f>
        <v>9750</v>
      </c>
      <c r="H102" s="247" t="n">
        <f aca="false">SUM(H59:H99)*H101</f>
        <v>12800</v>
      </c>
      <c r="I102" s="247" t="n">
        <f aca="false">SUM(I59:I99)*I101</f>
        <v>16350</v>
      </c>
      <c r="J102" s="247" t="n">
        <f aca="false">SUM(J59:J99)*J101</f>
        <v>7800</v>
      </c>
      <c r="K102" s="247" t="n">
        <f aca="false">SUM(K59:K99)*K101</f>
        <v>11232</v>
      </c>
      <c r="L102" s="247" t="n">
        <f aca="false">SUM(L59:L99)*L101</f>
        <v>11986.5</v>
      </c>
      <c r="M102" s="247" t="n">
        <f aca="false">SUM(M59:M99)*M101</f>
        <v>6318</v>
      </c>
      <c r="N102" s="247" t="n">
        <f aca="false">SUM(N59:N99)*N101</f>
        <v>15552</v>
      </c>
      <c r="O102" s="247" t="n">
        <f aca="false">SUM(O59:O99)*O101</f>
        <v>19530</v>
      </c>
      <c r="P102" s="247" t="n">
        <f aca="false">SUM(P59:P99)*P101</f>
        <v>10075</v>
      </c>
      <c r="Q102" s="247" t="n">
        <f aca="false">SUM(Q59:Q99)*Q101</f>
        <v>88596</v>
      </c>
      <c r="R102" s="247" t="n">
        <f aca="false">SUM(R59:R99)*R101</f>
        <v>91627</v>
      </c>
      <c r="S102" s="247" t="n">
        <f aca="false">SUM(S59:S99)*S101</f>
        <v>56840</v>
      </c>
      <c r="T102" s="92"/>
      <c r="U102" s="80" t="n">
        <f aca="false">SUM(E102:S102)</f>
        <v>389881.5</v>
      </c>
      <c r="V102" s="92"/>
      <c r="W102" s="92"/>
      <c r="X102" s="92"/>
    </row>
    <row r="103" customFormat="false" ht="7.2" hidden="false" customHeight="true" outlineLevel="0" collapsed="false">
      <c r="B103" s="73"/>
      <c r="C103" s="74"/>
      <c r="D103" s="74"/>
      <c r="E103" s="92"/>
      <c r="F103" s="92"/>
      <c r="G103" s="92"/>
      <c r="H103" s="92"/>
      <c r="I103" s="92"/>
      <c r="J103" s="92"/>
      <c r="K103" s="92"/>
      <c r="L103" s="92"/>
      <c r="M103" s="92"/>
      <c r="N103" s="92"/>
      <c r="O103" s="92"/>
      <c r="P103" s="92"/>
      <c r="Q103" s="92"/>
      <c r="R103" s="92"/>
      <c r="S103" s="92"/>
      <c r="T103" s="92"/>
      <c r="U103" s="80"/>
    </row>
    <row r="104" customFormat="false" ht="13.2" hidden="false" customHeight="false" outlineLevel="0" collapsed="false">
      <c r="B104" s="73" t="s">
        <v>160</v>
      </c>
      <c r="C104" s="74"/>
      <c r="D104" s="74"/>
      <c r="E104" s="74" t="s">
        <v>201</v>
      </c>
      <c r="F104" s="74"/>
      <c r="G104" s="92" t="n">
        <v>14</v>
      </c>
      <c r="H104" s="203" t="s">
        <v>202</v>
      </c>
      <c r="I104" s="80" t="n">
        <v>75</v>
      </c>
      <c r="J104" s="38"/>
      <c r="K104" s="203" t="s">
        <v>203</v>
      </c>
      <c r="L104" s="92" t="n">
        <v>4</v>
      </c>
      <c r="T104" s="80" t="n">
        <f aca="false">+G104*I104*L104</f>
        <v>4200</v>
      </c>
      <c r="U104" s="80"/>
    </row>
    <row r="105" customFormat="false" ht="13.2" hidden="false" customHeight="false" outlineLevel="0" collapsed="false">
      <c r="B105" s="73"/>
      <c r="E105" s="74" t="s">
        <v>201</v>
      </c>
      <c r="F105" s="74"/>
      <c r="G105" s="92" t="n">
        <v>19</v>
      </c>
      <c r="H105" s="203" t="s">
        <v>202</v>
      </c>
      <c r="I105" s="80" t="n">
        <v>75</v>
      </c>
      <c r="J105" s="92"/>
      <c r="K105" s="203" t="s">
        <v>203</v>
      </c>
      <c r="L105" s="92" t="n">
        <v>2</v>
      </c>
      <c r="M105" s="92"/>
      <c r="N105" s="92"/>
      <c r="O105" s="92"/>
      <c r="S105" s="92"/>
      <c r="T105" s="80" t="n">
        <f aca="false">+G105*I105*L105</f>
        <v>2850</v>
      </c>
      <c r="U105" s="80"/>
    </row>
    <row r="106" customFormat="false" ht="13.2" hidden="false" customHeight="false" outlineLevel="0" collapsed="false">
      <c r="B106" s="73"/>
      <c r="E106" s="74" t="s">
        <v>201</v>
      </c>
      <c r="F106" s="74"/>
      <c r="G106" s="92" t="n">
        <v>12</v>
      </c>
      <c r="H106" s="203" t="s">
        <v>202</v>
      </c>
      <c r="I106" s="80" t="n">
        <v>75</v>
      </c>
      <c r="J106" s="92"/>
      <c r="K106" s="203" t="s">
        <v>203</v>
      </c>
      <c r="L106" s="92" t="n">
        <v>1</v>
      </c>
      <c r="M106" s="92"/>
      <c r="N106" s="92"/>
      <c r="O106" s="92"/>
      <c r="S106" s="92"/>
      <c r="T106" s="248" t="n">
        <f aca="false">+G106*I106*L106</f>
        <v>900</v>
      </c>
      <c r="U106" s="80" t="n">
        <f aca="false">+T104+T105+T106</f>
        <v>7950</v>
      </c>
    </row>
    <row r="107" customFormat="false" ht="13.2" hidden="false" customHeight="false" outlineLevel="0" collapsed="false">
      <c r="B107" s="73" t="s">
        <v>204</v>
      </c>
      <c r="C107" s="74"/>
      <c r="D107" s="74"/>
      <c r="E107" s="92"/>
      <c r="F107" s="203" t="n">
        <v>45</v>
      </c>
      <c r="G107" s="91" t="s">
        <v>202</v>
      </c>
      <c r="H107" s="81" t="n">
        <v>150</v>
      </c>
      <c r="I107" s="203"/>
      <c r="J107" s="92"/>
      <c r="K107" s="92"/>
      <c r="L107" s="92"/>
      <c r="M107" s="92"/>
      <c r="N107" s="92"/>
      <c r="O107" s="92"/>
      <c r="S107" s="74"/>
      <c r="U107" s="80" t="n">
        <f aca="false">+F107*H107</f>
        <v>6750</v>
      </c>
    </row>
    <row r="108" customFormat="false" ht="13.2" hidden="false" customHeight="false" outlineLevel="0" collapsed="false">
      <c r="B108" s="73"/>
      <c r="C108" s="196" t="s">
        <v>180</v>
      </c>
      <c r="D108" s="196"/>
      <c r="E108" s="197"/>
      <c r="F108" s="197"/>
      <c r="G108" s="197"/>
      <c r="H108" s="197"/>
      <c r="I108" s="203"/>
      <c r="J108" s="198" t="s">
        <v>181</v>
      </c>
      <c r="K108" s="199"/>
      <c r="L108" s="199"/>
      <c r="M108" s="92"/>
      <c r="N108" s="92"/>
      <c r="O108" s="92"/>
      <c r="S108" s="74"/>
      <c r="U108" s="80"/>
    </row>
    <row r="109" customFormat="false" ht="13.2" hidden="false" customHeight="false" outlineLevel="0" collapsed="false">
      <c r="B109" s="201" t="s">
        <v>166</v>
      </c>
      <c r="C109" s="74"/>
      <c r="D109" s="61" t="s">
        <v>158</v>
      </c>
      <c r="E109" s="92"/>
      <c r="F109" s="91" t="s">
        <v>183</v>
      </c>
      <c r="G109" s="92"/>
      <c r="H109" s="91"/>
      <c r="I109" s="91" t="s">
        <v>184</v>
      </c>
      <c r="J109" s="92"/>
      <c r="K109" s="92"/>
      <c r="L109" s="91" t="s">
        <v>185</v>
      </c>
      <c r="M109" s="92"/>
      <c r="N109" s="92"/>
      <c r="O109" s="91" t="s">
        <v>186</v>
      </c>
      <c r="P109" s="92"/>
      <c r="Q109" s="203" t="s">
        <v>143</v>
      </c>
      <c r="R109" s="75" t="s">
        <v>143</v>
      </c>
      <c r="S109" s="74"/>
    </row>
    <row r="110" customFormat="false" ht="13.2" hidden="false" customHeight="false" outlineLevel="0" collapsed="false">
      <c r="E110" s="203" t="s">
        <v>190</v>
      </c>
      <c r="F110" s="203" t="s">
        <v>191</v>
      </c>
      <c r="G110" s="203" t="s">
        <v>192</v>
      </c>
      <c r="H110" s="203" t="s">
        <v>190</v>
      </c>
      <c r="I110" s="203" t="s">
        <v>191</v>
      </c>
      <c r="J110" s="203" t="s">
        <v>192</v>
      </c>
      <c r="K110" s="203" t="s">
        <v>190</v>
      </c>
      <c r="L110" s="203" t="s">
        <v>193</v>
      </c>
      <c r="M110" s="203" t="s">
        <v>192</v>
      </c>
      <c r="N110" s="203" t="s">
        <v>190</v>
      </c>
      <c r="O110" s="203" t="s">
        <v>194</v>
      </c>
      <c r="P110" s="203" t="s">
        <v>195</v>
      </c>
      <c r="Q110" s="203" t="s">
        <v>156</v>
      </c>
      <c r="R110" s="75" t="s">
        <v>157</v>
      </c>
      <c r="S110" s="74"/>
      <c r="T110" s="74"/>
      <c r="U110" s="74"/>
      <c r="V110" s="92"/>
      <c r="W110" s="92"/>
    </row>
    <row r="111" customFormat="false" ht="13.2" hidden="false" customHeight="false" outlineLevel="0" collapsed="false">
      <c r="A111" s="47" t="n">
        <v>1</v>
      </c>
      <c r="B111" s="205" t="n">
        <v>36698</v>
      </c>
      <c r="C111" s="204" t="n">
        <v>1</v>
      </c>
      <c r="D111" s="204" t="n">
        <v>14</v>
      </c>
      <c r="E111" s="206"/>
      <c r="F111" s="207"/>
      <c r="G111" s="208"/>
      <c r="H111" s="209" t="n">
        <v>8</v>
      </c>
      <c r="I111" s="207"/>
      <c r="J111" s="210"/>
      <c r="K111" s="206" t="n">
        <v>16</v>
      </c>
      <c r="L111" s="211"/>
      <c r="M111" s="208"/>
      <c r="N111" s="209" t="n">
        <v>56</v>
      </c>
      <c r="O111" s="211"/>
      <c r="P111" s="208"/>
      <c r="Q111" s="92" t="n">
        <f aca="false">SUM(E111:P111)</f>
        <v>80</v>
      </c>
      <c r="R111" s="80" t="n">
        <f aca="false">+(E111*100)+(F111*150)+(G111*200)+(H111*52)+(I111*65.5)+(J111*81)+(K111*48)+(L111*63)+(M111*77.5)+(N111*46)+(O111*59)+(P111*72.5)</f>
        <v>3760</v>
      </c>
      <c r="S111" s="74"/>
      <c r="T111" s="74"/>
      <c r="U111" s="74"/>
    </row>
    <row r="112" customFormat="false" ht="13.2" hidden="false" customHeight="false" outlineLevel="0" collapsed="false">
      <c r="A112" s="47" t="n">
        <v>2</v>
      </c>
      <c r="B112" s="205" t="n">
        <v>36699</v>
      </c>
      <c r="C112" s="204" t="n">
        <v>1</v>
      </c>
      <c r="D112" s="204" t="n">
        <v>14</v>
      </c>
      <c r="E112" s="212"/>
      <c r="F112" s="213"/>
      <c r="G112" s="214"/>
      <c r="H112" s="215" t="n">
        <v>8</v>
      </c>
      <c r="I112" s="216" t="n">
        <v>7</v>
      </c>
      <c r="J112" s="217"/>
      <c r="K112" s="215" t="n">
        <v>16</v>
      </c>
      <c r="L112" s="216" t="n">
        <v>13</v>
      </c>
      <c r="M112" s="217"/>
      <c r="N112" s="215" t="n">
        <v>88</v>
      </c>
      <c r="O112" s="216" t="n">
        <v>42</v>
      </c>
      <c r="P112" s="214"/>
      <c r="Q112" s="92" t="n">
        <f aca="false">SUM(E112:P112)</f>
        <v>174</v>
      </c>
      <c r="R112" s="80" t="n">
        <f aca="false">+(E112*100)+(F112*150)+(G112*200)+(H112*52)+(I112*65.5)+(J112*81)+(K112*48)+(L112*63)+(M112*77.5)+(N112*46)+(O112*59)+(P112*72.5)</f>
        <v>8987.5</v>
      </c>
      <c r="S112" s="74"/>
      <c r="T112" s="74"/>
      <c r="U112" s="74"/>
    </row>
    <row r="113" customFormat="false" ht="13.2" hidden="false" customHeight="false" outlineLevel="0" collapsed="false">
      <c r="A113" s="47" t="n">
        <v>3</v>
      </c>
      <c r="B113" s="205" t="n">
        <v>36700</v>
      </c>
      <c r="C113" s="204" t="n">
        <v>1</v>
      </c>
      <c r="D113" s="204" t="n">
        <v>14</v>
      </c>
      <c r="E113" s="212"/>
      <c r="F113" s="213"/>
      <c r="G113" s="214"/>
      <c r="H113" s="215" t="n">
        <v>8</v>
      </c>
      <c r="I113" s="216" t="n">
        <v>7</v>
      </c>
      <c r="J113" s="217"/>
      <c r="K113" s="215" t="n">
        <v>16</v>
      </c>
      <c r="L113" s="216" t="n">
        <v>10</v>
      </c>
      <c r="M113" s="217"/>
      <c r="N113" s="215" t="n">
        <v>88</v>
      </c>
      <c r="O113" s="216" t="n">
        <v>44</v>
      </c>
      <c r="P113" s="214"/>
      <c r="Q113" s="92" t="n">
        <f aca="false">SUM(E113:P113)</f>
        <v>173</v>
      </c>
      <c r="R113" s="80" t="n">
        <f aca="false">+(E113*100)+(F113*150)+(G113*200)+(H113*52)+(I113*65.5)+(J113*81)+(K113*48)+(L113*63)+(M113*77.5)+(N113*46)+(O113*59)+(P113*72.5)</f>
        <v>8916.5</v>
      </c>
      <c r="S113" s="74"/>
      <c r="T113" s="74"/>
      <c r="U113" s="74"/>
    </row>
    <row r="114" customFormat="false" ht="13.2" hidden="false" customHeight="false" outlineLevel="0" collapsed="false">
      <c r="A114" s="47" t="n">
        <v>4</v>
      </c>
      <c r="B114" s="205" t="n">
        <v>36701</v>
      </c>
      <c r="C114" s="204" t="n">
        <v>1</v>
      </c>
      <c r="D114" s="204" t="n">
        <v>14</v>
      </c>
      <c r="E114" s="224"/>
      <c r="F114" s="114"/>
      <c r="G114" s="225"/>
      <c r="H114" s="226"/>
      <c r="I114" s="121" t="n">
        <v>13</v>
      </c>
      <c r="J114" s="225"/>
      <c r="K114" s="226"/>
      <c r="L114" s="114" t="n">
        <v>13</v>
      </c>
      <c r="M114" s="232"/>
      <c r="N114" s="226"/>
      <c r="O114" s="121" t="n">
        <v>96</v>
      </c>
      <c r="P114" s="225"/>
      <c r="Q114" s="92" t="n">
        <f aca="false">SUM(E114:P114)</f>
        <v>122</v>
      </c>
      <c r="R114" s="80" t="n">
        <f aca="false">+(E114*100)+(F114*150)+(G114*200)+(H114*52)+(I114*65.5)+(J114*81)+(K114*48)+(L114*63)+(M114*77.5)+(N114*46)+(O114*59)+(P114*72.5)</f>
        <v>7334.5</v>
      </c>
      <c r="S114" s="74" t="s">
        <v>190</v>
      </c>
      <c r="T114" s="92" t="n">
        <f aca="false">SUM(N109:N115)+SUM(H109:H115)+SUM(K109:K115)</f>
        <v>304</v>
      </c>
      <c r="U114" s="74"/>
    </row>
    <row r="115" customFormat="false" ht="13.2" hidden="false" customHeight="false" outlineLevel="0" collapsed="false">
      <c r="A115" s="47" t="n">
        <v>5</v>
      </c>
      <c r="B115" s="205" t="n">
        <v>36702</v>
      </c>
      <c r="C115" s="204" t="n">
        <v>1</v>
      </c>
      <c r="D115" s="204" t="n">
        <v>15</v>
      </c>
      <c r="E115" s="224"/>
      <c r="F115" s="114"/>
      <c r="G115" s="225"/>
      <c r="H115" s="226"/>
      <c r="I115" s="121"/>
      <c r="J115" s="232" t="n">
        <v>13</v>
      </c>
      <c r="K115" s="226"/>
      <c r="L115" s="121"/>
      <c r="M115" s="225" t="n">
        <v>26</v>
      </c>
      <c r="N115" s="224"/>
      <c r="O115" s="114"/>
      <c r="P115" s="225" t="n">
        <v>132</v>
      </c>
      <c r="Q115" s="92" t="n">
        <f aca="false">SUM(E115:P115)</f>
        <v>171</v>
      </c>
      <c r="R115" s="80" t="n">
        <f aca="false">+(E115*100)+(F115*150)+(G115*200)+(H115*52)+(I115*65.5)+(J115*81)+(K115*48)+(L115*63)+(M115*77.5)+(N115*46)+(O115*59)+(P115*72.5)</f>
        <v>12638</v>
      </c>
      <c r="S115" s="74" t="s">
        <v>191</v>
      </c>
      <c r="T115" s="92" t="n">
        <f aca="false">SUM(O109:O115)+SUM(I109:I115)+SUM(L109:L115)</f>
        <v>245</v>
      </c>
      <c r="U115" s="74"/>
    </row>
    <row r="116" customFormat="false" ht="13.2" hidden="false" customHeight="false" outlineLevel="0" collapsed="false">
      <c r="A116" s="47" t="n">
        <v>6</v>
      </c>
      <c r="B116" s="205" t="n">
        <v>36703</v>
      </c>
      <c r="C116" s="204" t="n">
        <v>1</v>
      </c>
      <c r="D116" s="204" t="n">
        <v>16</v>
      </c>
      <c r="E116" s="224"/>
      <c r="F116" s="114"/>
      <c r="G116" s="225"/>
      <c r="H116" s="226" t="n">
        <v>8</v>
      </c>
      <c r="I116" s="121" t="n">
        <v>5</v>
      </c>
      <c r="J116" s="232"/>
      <c r="K116" s="226" t="n">
        <v>16</v>
      </c>
      <c r="L116" s="114" t="n">
        <v>10</v>
      </c>
      <c r="M116" s="232"/>
      <c r="N116" s="226" t="n">
        <v>112</v>
      </c>
      <c r="O116" s="114" t="n">
        <v>56</v>
      </c>
      <c r="P116" s="225"/>
      <c r="Q116" s="92" t="n">
        <f aca="false">SUM(E116:P116)</f>
        <v>207</v>
      </c>
      <c r="R116" s="80" t="n">
        <f aca="false">+(E116*100)+(F116*150)+(G116*200)+(H116*52)+(I116*65.5)+(J116*81)+(K116*48)+(L116*63)+(M116*77.5)+(N116*46)+(O116*59)+(P116*72.5)</f>
        <v>10597.5</v>
      </c>
      <c r="S116" s="74" t="s">
        <v>192</v>
      </c>
      <c r="T116" s="92" t="n">
        <f aca="false">SUM(P109:P115)+SUM(J109:J115)+SUM(M109:M115)</f>
        <v>171</v>
      </c>
      <c r="U116" s="74"/>
    </row>
    <row r="117" customFormat="false" ht="13.2" hidden="false" customHeight="false" outlineLevel="0" collapsed="false">
      <c r="A117" s="47" t="n">
        <v>7</v>
      </c>
      <c r="B117" s="205" t="n">
        <v>36704</v>
      </c>
      <c r="C117" s="204" t="n">
        <v>1</v>
      </c>
      <c r="D117" s="204" t="n">
        <v>16</v>
      </c>
      <c r="E117" s="224"/>
      <c r="F117" s="114"/>
      <c r="G117" s="225"/>
      <c r="H117" s="221" t="n">
        <v>8</v>
      </c>
      <c r="I117" s="222" t="n">
        <v>5</v>
      </c>
      <c r="J117" s="223"/>
      <c r="K117" s="221" t="n">
        <v>8</v>
      </c>
      <c r="L117" s="219" t="n">
        <v>5</v>
      </c>
      <c r="M117" s="223"/>
      <c r="N117" s="221" t="n">
        <v>72</v>
      </c>
      <c r="O117" s="219" t="n">
        <v>36</v>
      </c>
      <c r="P117" s="220"/>
      <c r="Q117" s="92" t="n">
        <f aca="false">SUM(E117:P117)</f>
        <v>134</v>
      </c>
      <c r="R117" s="80" t="n">
        <f aca="false">+(E117*100)+(F117*150)+(H117*52)+(I117*65.5)+(J117*81)+(K117*48)+(L117*63)+(M117*77.5)+(N117*46)+(O117*59)+(P117*72.5)</f>
        <v>6878.5</v>
      </c>
      <c r="S117" s="74" t="s">
        <v>143</v>
      </c>
      <c r="T117" s="92" t="n">
        <f aca="false">SUM(Q109:Q115)</f>
        <v>720</v>
      </c>
      <c r="U117" s="74"/>
    </row>
    <row r="118" customFormat="false" ht="13.2" hidden="false" customHeight="false" outlineLevel="0" collapsed="false">
      <c r="A118" s="47" t="n">
        <v>8</v>
      </c>
      <c r="B118" s="205" t="n">
        <v>36705</v>
      </c>
      <c r="C118" s="204" t="n">
        <v>1</v>
      </c>
      <c r="D118" s="204" t="n">
        <v>16</v>
      </c>
      <c r="E118" s="224"/>
      <c r="F118" s="114"/>
      <c r="G118" s="232" t="s">
        <v>205</v>
      </c>
      <c r="H118" s="227" t="n">
        <v>8</v>
      </c>
      <c r="I118" s="228" t="n">
        <v>5</v>
      </c>
      <c r="J118" s="229"/>
      <c r="K118" s="227" t="n">
        <v>16</v>
      </c>
      <c r="L118" s="230" t="n">
        <v>10</v>
      </c>
      <c r="M118" s="229"/>
      <c r="N118" s="227" t="n">
        <v>112</v>
      </c>
      <c r="O118" s="230" t="n">
        <v>56</v>
      </c>
      <c r="P118" s="231"/>
      <c r="Q118" s="92" t="n">
        <f aca="false">SUM(E118:P118)</f>
        <v>207</v>
      </c>
      <c r="R118" s="80" t="n">
        <f aca="false">+(E118*100)+(F118*150)+(H118*52)+(I118*65.5)+(J118*81)+(K118*48)+(L118*63)+(M118*77.5)+(N118*46)+(O118*59)+(P118*72.5)</f>
        <v>10597.5</v>
      </c>
      <c r="S118" s="74" t="s">
        <v>206</v>
      </c>
      <c r="T118" s="92" t="n">
        <f aca="false">+T114+T115+T116</f>
        <v>720</v>
      </c>
      <c r="U118" s="74"/>
    </row>
    <row r="119" customFormat="false" ht="13.2" hidden="false" customHeight="false" outlineLevel="0" collapsed="false">
      <c r="A119" s="47" t="n">
        <v>9</v>
      </c>
      <c r="B119" s="205" t="n">
        <v>36706</v>
      </c>
      <c r="C119" s="204" t="n">
        <v>1</v>
      </c>
      <c r="D119" s="204" t="n">
        <v>16</v>
      </c>
      <c r="E119" s="224"/>
      <c r="F119" s="114"/>
      <c r="G119" s="232" t="s">
        <v>205</v>
      </c>
      <c r="H119" s="227" t="n">
        <v>8</v>
      </c>
      <c r="I119" s="230" t="n">
        <v>5</v>
      </c>
      <c r="J119" s="231"/>
      <c r="K119" s="227" t="n">
        <v>16</v>
      </c>
      <c r="L119" s="230" t="n">
        <v>10</v>
      </c>
      <c r="M119" s="229"/>
      <c r="N119" s="227" t="n">
        <v>112</v>
      </c>
      <c r="O119" s="230" t="n">
        <v>56</v>
      </c>
      <c r="P119" s="231"/>
      <c r="Q119" s="92" t="n">
        <f aca="false">SUM(E119:P119)</f>
        <v>207</v>
      </c>
      <c r="R119" s="80" t="n">
        <f aca="false">+(E119*100)+(F119*150)+(H119*52)+(I119*65.5)+(J119*81)+(K119*48)+(L119*63)+(M119*77.5)+(N119*46)+(O119*59)+(P119*72.5)</f>
        <v>10597.5</v>
      </c>
      <c r="S119" s="74"/>
      <c r="T119" s="74"/>
      <c r="U119" s="74"/>
    </row>
    <row r="120" customFormat="false" ht="13.2" hidden="false" customHeight="false" outlineLevel="0" collapsed="false">
      <c r="A120" s="47" t="n">
        <v>10</v>
      </c>
      <c r="B120" s="205" t="n">
        <v>36707</v>
      </c>
      <c r="C120" s="204" t="n">
        <v>1</v>
      </c>
      <c r="D120" s="204" t="n">
        <v>16</v>
      </c>
      <c r="E120" s="224"/>
      <c r="F120" s="114"/>
      <c r="G120" s="232" t="s">
        <v>205</v>
      </c>
      <c r="H120" s="227" t="n">
        <v>8</v>
      </c>
      <c r="I120" s="230" t="n">
        <v>5</v>
      </c>
      <c r="J120" s="231"/>
      <c r="K120" s="227" t="n">
        <v>16</v>
      </c>
      <c r="L120" s="228" t="n">
        <v>10</v>
      </c>
      <c r="M120" s="229"/>
      <c r="N120" s="227" t="n">
        <v>112</v>
      </c>
      <c r="O120" s="230" t="n">
        <v>56</v>
      </c>
      <c r="P120" s="231"/>
      <c r="Q120" s="92" t="n">
        <f aca="false">SUM(E120:P120)</f>
        <v>207</v>
      </c>
      <c r="R120" s="80" t="n">
        <f aca="false">+(E120*100)+(F120*150)+(H120*52)+(I120*65.5)+(J120*81)+(K120*48)+(L120*63)+(M120*77.5)+(N120*46)+(O120*59)+(P120*72.5)</f>
        <v>10597.5</v>
      </c>
      <c r="S120" s="74"/>
      <c r="T120" s="74"/>
      <c r="U120" s="74"/>
    </row>
    <row r="121" customFormat="false" ht="13.2" hidden="false" customHeight="false" outlineLevel="0" collapsed="false">
      <c r="A121" s="47" t="n">
        <v>11</v>
      </c>
      <c r="B121" s="205" t="n">
        <v>36708</v>
      </c>
      <c r="C121" s="204" t="n">
        <v>1</v>
      </c>
      <c r="D121" s="204" t="n">
        <v>16</v>
      </c>
      <c r="E121" s="224"/>
      <c r="F121" s="114"/>
      <c r="G121" s="225"/>
      <c r="H121" s="226"/>
      <c r="I121" s="121" t="n">
        <v>13</v>
      </c>
      <c r="J121" s="225"/>
      <c r="K121" s="226"/>
      <c r="L121" s="114" t="n">
        <v>26</v>
      </c>
      <c r="M121" s="232"/>
      <c r="N121" s="226"/>
      <c r="O121" s="114" t="n">
        <v>168</v>
      </c>
      <c r="P121" s="225"/>
      <c r="Q121" s="92" t="n">
        <f aca="false">SUM(E121:P121)</f>
        <v>207</v>
      </c>
      <c r="R121" s="80" t="n">
        <f aca="false">+(E121*100)+(F121*150)+(G121*200)+(H121*52)+(I121*65.5)+(J121*81)+(K121*48)+(L121*63)+(M121*77.5)+(N121*46)+(O121*59)+(P121*72.5)</f>
        <v>12401.5</v>
      </c>
      <c r="S121" s="74" t="s">
        <v>190</v>
      </c>
      <c r="T121" s="92" t="n">
        <f aca="false">SUM(N116:N122)+SUM(H116:H122)+SUM(K116:K122)</f>
        <v>632</v>
      </c>
    </row>
    <row r="122" customFormat="false" ht="13.2" hidden="false" customHeight="false" outlineLevel="0" collapsed="false">
      <c r="A122" s="47" t="n">
        <v>12</v>
      </c>
      <c r="B122" s="205" t="n">
        <v>36709</v>
      </c>
      <c r="C122" s="204" t="n">
        <v>1</v>
      </c>
      <c r="D122" s="204" t="n">
        <v>16</v>
      </c>
      <c r="E122" s="224"/>
      <c r="F122" s="114"/>
      <c r="G122" s="232" t="s">
        <v>198</v>
      </c>
      <c r="H122" s="233"/>
      <c r="I122" s="234"/>
      <c r="J122" s="238" t="n">
        <v>13</v>
      </c>
      <c r="K122" s="237"/>
      <c r="L122" s="234"/>
      <c r="M122" s="238" t="n">
        <v>26</v>
      </c>
      <c r="N122" s="233"/>
      <c r="O122" s="236"/>
      <c r="P122" s="235" t="n">
        <v>168</v>
      </c>
      <c r="Q122" s="92" t="n">
        <f aca="false">SUM(E122:P122)</f>
        <v>207</v>
      </c>
      <c r="R122" s="80" t="n">
        <f aca="false">+(E122*100)+(F122*150)+(H122*52)+(I122*65.5)+(J122*81)+(K122*48)+(L122*63)+(M122*77.5)+(N122*46)+(O122*59)+(P122*72.5)</f>
        <v>15248</v>
      </c>
      <c r="S122" s="74" t="s">
        <v>191</v>
      </c>
      <c r="T122" s="92" t="n">
        <f aca="false">SUM(O116:O122)+SUM(I116:I122)+SUM(L116:L122)</f>
        <v>537</v>
      </c>
      <c r="U122" s="74"/>
    </row>
    <row r="123" customFormat="false" ht="13.2" hidden="false" customHeight="false" outlineLevel="0" collapsed="false">
      <c r="A123" s="47" t="n">
        <v>13</v>
      </c>
      <c r="B123" s="205" t="n">
        <v>36710</v>
      </c>
      <c r="C123" s="204" t="n">
        <v>1</v>
      </c>
      <c r="D123" s="204" t="n">
        <v>18</v>
      </c>
      <c r="E123" s="224"/>
      <c r="F123" s="114"/>
      <c r="G123" s="232" t="s">
        <v>198</v>
      </c>
      <c r="H123" s="233" t="n">
        <v>8</v>
      </c>
      <c r="I123" s="234" t="n">
        <v>5</v>
      </c>
      <c r="J123" s="238"/>
      <c r="K123" s="233" t="n">
        <v>16</v>
      </c>
      <c r="L123" s="236" t="n">
        <v>10</v>
      </c>
      <c r="M123" s="235"/>
      <c r="N123" s="237" t="n">
        <v>128</v>
      </c>
      <c r="O123" s="236" t="n">
        <v>62</v>
      </c>
      <c r="P123" s="235"/>
      <c r="Q123" s="92" t="n">
        <f aca="false">SUM(E123:P123)</f>
        <v>229</v>
      </c>
      <c r="R123" s="80" t="n">
        <f aca="false">+(E123*100)+(F123*150)+(H123*52)+(I123*65.5)+(J123*81)+(K123*48)+(L123*63)+(M123*77.5)+(N123*46)+(O123*59)+(P123*72.5)</f>
        <v>11687.5</v>
      </c>
      <c r="S123" s="74" t="s">
        <v>192</v>
      </c>
      <c r="T123" s="92" t="n">
        <f aca="false">SUM(P116:P122)+SUM(J116:J122)+SUM(M116:M122)</f>
        <v>207</v>
      </c>
      <c r="U123" s="74"/>
    </row>
    <row r="124" customFormat="false" ht="13.2" hidden="false" customHeight="false" outlineLevel="0" collapsed="false">
      <c r="A124" s="47" t="n">
        <v>14</v>
      </c>
      <c r="B124" s="205" t="n">
        <v>36711</v>
      </c>
      <c r="C124" s="204" t="n">
        <v>1</v>
      </c>
      <c r="D124" s="204" t="n">
        <v>18</v>
      </c>
      <c r="E124" s="224"/>
      <c r="F124" s="114"/>
      <c r="G124" s="232" t="s">
        <v>198</v>
      </c>
      <c r="H124" s="233"/>
      <c r="I124" s="234"/>
      <c r="J124" s="238" t="n">
        <v>16</v>
      </c>
      <c r="K124" s="233"/>
      <c r="L124" s="236"/>
      <c r="M124" s="235" t="n">
        <v>28</v>
      </c>
      <c r="N124" s="237"/>
      <c r="O124" s="236"/>
      <c r="P124" s="235" t="n">
        <v>151</v>
      </c>
      <c r="Q124" s="92" t="n">
        <f aca="false">SUM(E124:P124)</f>
        <v>195</v>
      </c>
      <c r="R124" s="80" t="n">
        <f aca="false">+(E124*100)+(F124*150)+(H124*52)+(I124*65.5)+(J124*81)+(K124*48)+(L124*63)+(M124*77.5)+(N124*46)+(O124*59)+(P124*72.5)</f>
        <v>14413.5</v>
      </c>
      <c r="S124" s="74" t="s">
        <v>143</v>
      </c>
      <c r="T124" s="92" t="n">
        <f aca="false">SUM(Q116:Q122)</f>
        <v>1376</v>
      </c>
      <c r="U124" s="74"/>
    </row>
    <row r="125" customFormat="false" ht="13.2" hidden="false" customHeight="false" outlineLevel="0" collapsed="false">
      <c r="A125" s="47" t="n">
        <v>15</v>
      </c>
      <c r="B125" s="205" t="n">
        <v>36712</v>
      </c>
      <c r="C125" s="204" t="n">
        <v>1</v>
      </c>
      <c r="D125" s="204" t="n">
        <v>18</v>
      </c>
      <c r="E125" s="224"/>
      <c r="F125" s="114"/>
      <c r="G125" s="232" t="s">
        <v>198</v>
      </c>
      <c r="H125" s="233" t="n">
        <v>8</v>
      </c>
      <c r="I125" s="234" t="n">
        <v>6</v>
      </c>
      <c r="J125" s="238"/>
      <c r="K125" s="233" t="n">
        <v>16</v>
      </c>
      <c r="L125" s="236" t="n">
        <v>10</v>
      </c>
      <c r="M125" s="238"/>
      <c r="N125" s="233" t="n">
        <v>96</v>
      </c>
      <c r="O125" s="236" t="n">
        <v>50</v>
      </c>
      <c r="P125" s="235"/>
      <c r="Q125" s="92" t="n">
        <f aca="false">SUM(E125:P125)</f>
        <v>186</v>
      </c>
      <c r="R125" s="80" t="n">
        <f aca="false">+(E125*100)+(F125*150)+(H125*52)+(I125*65.5)+(J125*81)+(K125*48)+(L125*63)+(M125*77.5)+(N125*46)+(O125*59)+(P125*72.5)</f>
        <v>9573</v>
      </c>
      <c r="S125" s="74" t="s">
        <v>206</v>
      </c>
      <c r="T125" s="92" t="n">
        <f aca="false">+T121+T122+T123</f>
        <v>1376</v>
      </c>
      <c r="U125" s="74"/>
    </row>
    <row r="126" customFormat="false" ht="13.2" hidden="false" customHeight="false" outlineLevel="0" collapsed="false">
      <c r="A126" s="47" t="n">
        <v>16</v>
      </c>
      <c r="B126" s="205" t="n">
        <v>36713</v>
      </c>
      <c r="C126" s="204" t="n">
        <v>1</v>
      </c>
      <c r="D126" s="204" t="n">
        <v>18</v>
      </c>
      <c r="E126" s="224"/>
      <c r="F126" s="114"/>
      <c r="G126" s="232" t="s">
        <v>198</v>
      </c>
      <c r="H126" s="233" t="n">
        <v>8</v>
      </c>
      <c r="I126" s="236" t="n">
        <v>5</v>
      </c>
      <c r="J126" s="235"/>
      <c r="K126" s="237" t="n">
        <v>16</v>
      </c>
      <c r="L126" s="236" t="n">
        <v>10</v>
      </c>
      <c r="M126" s="235"/>
      <c r="N126" s="237" t="n">
        <v>96</v>
      </c>
      <c r="O126" s="236" t="n">
        <v>50</v>
      </c>
      <c r="P126" s="235"/>
      <c r="Q126" s="92" t="n">
        <f aca="false">SUM(E126:P126)</f>
        <v>185</v>
      </c>
      <c r="R126" s="80" t="n">
        <f aca="false">+(E126*100)+(F126*150)+(H126*52)+(I126*65.5)+(J126*81)+(K126*48)+(L126*63)+(M126*77.5)+(N126*46)+(O126*59)+(P126*72.5)</f>
        <v>9507.5</v>
      </c>
      <c r="S126" s="74"/>
      <c r="T126" s="74"/>
      <c r="U126" s="74"/>
    </row>
    <row r="127" customFormat="false" ht="13.2" hidden="false" customHeight="false" outlineLevel="0" collapsed="false">
      <c r="A127" s="47" t="n">
        <v>17</v>
      </c>
      <c r="B127" s="205" t="n">
        <v>36714</v>
      </c>
      <c r="C127" s="204" t="n">
        <v>1</v>
      </c>
      <c r="D127" s="204" t="n">
        <v>18</v>
      </c>
      <c r="E127" s="224"/>
      <c r="F127" s="114"/>
      <c r="G127" s="232"/>
      <c r="H127" s="221" t="n">
        <v>8</v>
      </c>
      <c r="I127" s="222" t="n">
        <v>5</v>
      </c>
      <c r="J127" s="223"/>
      <c r="K127" s="221" t="n">
        <v>16</v>
      </c>
      <c r="L127" s="219" t="n">
        <v>10</v>
      </c>
      <c r="M127" s="220"/>
      <c r="N127" s="218" t="n">
        <v>136</v>
      </c>
      <c r="O127" s="219" t="n">
        <v>62</v>
      </c>
      <c r="P127" s="220"/>
      <c r="Q127" s="92" t="n">
        <f aca="false">SUM(E127:P127)</f>
        <v>237</v>
      </c>
      <c r="R127" s="80" t="n">
        <f aca="false">+(E127*100)+(F127*150)+(H127*52)+(I127*65.5)+(J127*81)+(K127*48)+(L127*63)+(M127*77.5)+(N127*46)+(O127*59)+(P127*72.5)</f>
        <v>12055.5</v>
      </c>
      <c r="S127" s="74"/>
      <c r="T127" s="74"/>
      <c r="U127" s="74"/>
    </row>
    <row r="128" customFormat="false" ht="13.2" hidden="false" customHeight="false" outlineLevel="0" collapsed="false">
      <c r="A128" s="47" t="n">
        <v>18</v>
      </c>
      <c r="B128" s="205" t="n">
        <v>36715</v>
      </c>
      <c r="C128" s="204" t="n">
        <v>1</v>
      </c>
      <c r="D128" s="204" t="n">
        <v>18</v>
      </c>
      <c r="E128" s="224"/>
      <c r="F128" s="114"/>
      <c r="G128" s="225"/>
      <c r="H128" s="226"/>
      <c r="I128" s="121" t="n">
        <v>13</v>
      </c>
      <c r="J128" s="225"/>
      <c r="K128" s="226"/>
      <c r="L128" s="114" t="n">
        <v>26</v>
      </c>
      <c r="M128" s="225"/>
      <c r="N128" s="224"/>
      <c r="O128" s="114" t="n">
        <v>206</v>
      </c>
      <c r="P128" s="225"/>
      <c r="Q128" s="92" t="n">
        <f aca="false">SUM(E128:P128)</f>
        <v>245</v>
      </c>
      <c r="R128" s="80" t="n">
        <f aca="false">+(E128*100)+(F128*150)+(G128*200)+(H128*52)+(I128*65.5)+(J128*81)+(K128*48)+(L128*63)+(M128*77.5)+(N128*46)+(O128*59)+(P128*72.5)</f>
        <v>14643.5</v>
      </c>
      <c r="S128" s="74" t="s">
        <v>190</v>
      </c>
      <c r="T128" s="92" t="n">
        <f aca="false">SUM(N123:N129)+SUM(H123:H129)+SUM(K123:K129)</f>
        <v>552</v>
      </c>
      <c r="U128" s="74"/>
    </row>
    <row r="129" customFormat="false" ht="13.2" hidden="false" customHeight="false" outlineLevel="0" collapsed="false">
      <c r="A129" s="47" t="n">
        <v>19</v>
      </c>
      <c r="B129" s="205" t="n">
        <v>36716</v>
      </c>
      <c r="C129" s="204" t="n">
        <v>1</v>
      </c>
      <c r="D129" s="204" t="n">
        <v>18</v>
      </c>
      <c r="E129" s="224"/>
      <c r="F129" s="114"/>
      <c r="G129" s="225"/>
      <c r="H129" s="226"/>
      <c r="I129" s="121"/>
      <c r="J129" s="232" t="n">
        <v>13</v>
      </c>
      <c r="K129" s="224"/>
      <c r="L129" s="114"/>
      <c r="M129" s="225" t="n">
        <v>26</v>
      </c>
      <c r="N129" s="224"/>
      <c r="O129" s="114"/>
      <c r="P129" s="225" t="n">
        <v>206</v>
      </c>
      <c r="Q129" s="92" t="n">
        <f aca="false">SUM(E129:P129)</f>
        <v>245</v>
      </c>
      <c r="R129" s="80" t="n">
        <f aca="false">+(E129*100)+(F129*150)+(G129*200)+(H129*52)+(I129*65.5)+(J129*81)+(K129*48)+(L129*63)+(M129*77.5)+(N129*46)+(O129*59)+(P129*72.5)</f>
        <v>18003</v>
      </c>
      <c r="S129" s="74" t="s">
        <v>191</v>
      </c>
      <c r="T129" s="92" t="n">
        <f aca="false">SUM(O123:O129)+SUM(I123:I129)+SUM(L123:L129)</f>
        <v>530</v>
      </c>
      <c r="U129" s="74"/>
    </row>
    <row r="130" customFormat="false" ht="13.2" hidden="false" customHeight="false" outlineLevel="0" collapsed="false">
      <c r="A130" s="47" t="n">
        <v>20</v>
      </c>
      <c r="B130" s="205" t="n">
        <v>36717</v>
      </c>
      <c r="C130" s="204" t="n">
        <v>1</v>
      </c>
      <c r="D130" s="74" t="n">
        <v>20</v>
      </c>
      <c r="E130" s="224" t="n">
        <v>16</v>
      </c>
      <c r="F130" s="114" t="n">
        <v>5</v>
      </c>
      <c r="G130" s="225"/>
      <c r="H130" s="226" t="n">
        <v>8</v>
      </c>
      <c r="I130" s="114" t="n">
        <v>5</v>
      </c>
      <c r="J130" s="225"/>
      <c r="K130" s="224" t="n">
        <v>16</v>
      </c>
      <c r="L130" s="114" t="n">
        <v>10</v>
      </c>
      <c r="M130" s="225"/>
      <c r="N130" s="224" t="n">
        <v>120</v>
      </c>
      <c r="O130" s="114" t="n">
        <v>62</v>
      </c>
      <c r="P130" s="225"/>
      <c r="Q130" s="92" t="n">
        <f aca="false">SUM(E130:P130)</f>
        <v>242</v>
      </c>
      <c r="R130" s="80" t="n">
        <f aca="false">+(E130*100)+(F130*150)+(G130*200)+(H130*52)+(I130*65.5)+(J130*81)+(K130*48)+(L130*63)+(M130*77.5)+(N130*46)+(O130*59)+(P130*72.5)</f>
        <v>13669.5</v>
      </c>
      <c r="S130" s="74" t="s">
        <v>192</v>
      </c>
      <c r="T130" s="92" t="n">
        <f aca="false">SUM(P123:P129)+SUM(J123:J129)+SUM(M123:M129)</f>
        <v>440</v>
      </c>
      <c r="U130" s="74"/>
    </row>
    <row r="131" customFormat="false" ht="13.2" hidden="false" customHeight="false" outlineLevel="0" collapsed="false">
      <c r="A131" s="47" t="n">
        <v>21</v>
      </c>
      <c r="B131" s="205" t="n">
        <v>36718</v>
      </c>
      <c r="C131" s="204" t="n">
        <v>1</v>
      </c>
      <c r="D131" s="74" t="n">
        <v>20</v>
      </c>
      <c r="E131" s="226" t="n">
        <v>8</v>
      </c>
      <c r="F131" s="114" t="n">
        <v>5</v>
      </c>
      <c r="G131" s="225"/>
      <c r="H131" s="226" t="n">
        <v>8</v>
      </c>
      <c r="I131" s="114" t="n">
        <v>5</v>
      </c>
      <c r="J131" s="232"/>
      <c r="K131" s="224" t="n">
        <v>16</v>
      </c>
      <c r="L131" s="114" t="n">
        <v>10</v>
      </c>
      <c r="M131" s="225"/>
      <c r="N131" s="224" t="n">
        <v>88</v>
      </c>
      <c r="O131" s="114" t="n">
        <v>46</v>
      </c>
      <c r="P131" s="225"/>
      <c r="Q131" s="92" t="n">
        <f aca="false">SUM(E131:P131)</f>
        <v>186</v>
      </c>
      <c r="R131" s="80" t="n">
        <f aca="false">+(E131*100)+(F131*150)+(G131*200)+(H131*52)+(I131*65.5)+(J131*81)+(K131*48)+(L131*63)+(M131*77.5)+(N131*46)+(O131*59)+(P131*72.5)</f>
        <v>10453.5</v>
      </c>
      <c r="S131" s="74" t="s">
        <v>143</v>
      </c>
      <c r="T131" s="92" t="n">
        <f aca="false">SUM(Q123:Q129)</f>
        <v>1522</v>
      </c>
      <c r="U131" s="74"/>
    </row>
    <row r="132" customFormat="false" ht="13.2" hidden="false" customHeight="false" outlineLevel="0" collapsed="false">
      <c r="A132" s="47" t="n">
        <v>22</v>
      </c>
      <c r="B132" s="205" t="n">
        <v>36719</v>
      </c>
      <c r="C132" s="204" t="n">
        <v>1</v>
      </c>
      <c r="D132" s="74" t="n">
        <v>20</v>
      </c>
      <c r="E132" s="226" t="n">
        <v>8</v>
      </c>
      <c r="F132" s="114" t="n">
        <v>5</v>
      </c>
      <c r="G132" s="225"/>
      <c r="H132" s="226" t="n">
        <v>8</v>
      </c>
      <c r="I132" s="114" t="n">
        <v>5</v>
      </c>
      <c r="J132" s="225"/>
      <c r="K132" s="224" t="n">
        <v>16</v>
      </c>
      <c r="L132" s="114" t="n">
        <v>10</v>
      </c>
      <c r="M132" s="225"/>
      <c r="N132" s="224" t="n">
        <v>96</v>
      </c>
      <c r="O132" s="114" t="n">
        <v>52</v>
      </c>
      <c r="P132" s="225"/>
      <c r="Q132" s="92" t="n">
        <f aca="false">SUM(E132:P132)</f>
        <v>200</v>
      </c>
      <c r="R132" s="80" t="n">
        <f aca="false">+(E132*100)+(F132*150)+(G132*200)+(H132*52)+(I132*65.5)+(J132*81)+(K132*48)+(L132*63)+(M132*77.5)+(N132*46)+(O132*59)+(P132*72.5)</f>
        <v>11175.5</v>
      </c>
      <c r="S132" s="74" t="s">
        <v>206</v>
      </c>
      <c r="T132" s="92" t="n">
        <f aca="false">+T128+T129+T130</f>
        <v>1522</v>
      </c>
      <c r="U132" s="74"/>
    </row>
    <row r="133" customFormat="false" ht="13.2" hidden="false" customHeight="false" outlineLevel="0" collapsed="false">
      <c r="A133" s="47" t="n">
        <v>23</v>
      </c>
      <c r="B133" s="205" t="n">
        <v>36720</v>
      </c>
      <c r="C133" s="204" t="n">
        <v>1</v>
      </c>
      <c r="D133" s="74" t="n">
        <v>20</v>
      </c>
      <c r="E133" s="215" t="n">
        <v>8</v>
      </c>
      <c r="F133" s="213" t="n">
        <v>5</v>
      </c>
      <c r="G133" s="214"/>
      <c r="H133" s="215" t="n">
        <v>8</v>
      </c>
      <c r="I133" s="213" t="n">
        <v>5</v>
      </c>
      <c r="J133" s="214"/>
      <c r="K133" s="212" t="n">
        <v>16</v>
      </c>
      <c r="L133" s="213" t="n">
        <v>10</v>
      </c>
      <c r="M133" s="214"/>
      <c r="N133" s="212" t="n">
        <v>120</v>
      </c>
      <c r="O133" s="213" t="n">
        <v>62</v>
      </c>
      <c r="P133" s="214"/>
      <c r="Q133" s="92" t="n">
        <f aca="false">SUM(E133:P133)</f>
        <v>234</v>
      </c>
      <c r="R133" s="80" t="n">
        <f aca="false">+(E133*100)+(F133*150)+(G133*200)+(H133*52)+(I133*65.5)+(J133*81)+(K133*48)+(L133*63)+(M133*77.5)+(N133*46)+(O133*59)+(P133*72.5)</f>
        <v>12869.5</v>
      </c>
      <c r="S133" s="74"/>
      <c r="T133" s="74"/>
      <c r="U133" s="74"/>
    </row>
    <row r="134" customFormat="false" ht="13.2" hidden="false" customHeight="false" outlineLevel="0" collapsed="false">
      <c r="A134" s="47" t="n">
        <v>24</v>
      </c>
      <c r="B134" s="205" t="n">
        <v>36721</v>
      </c>
      <c r="C134" s="204" t="n">
        <v>1</v>
      </c>
      <c r="D134" s="74" t="n">
        <v>20</v>
      </c>
      <c r="E134" s="215" t="n">
        <v>8</v>
      </c>
      <c r="F134" s="213" t="n">
        <v>5</v>
      </c>
      <c r="G134" s="214"/>
      <c r="H134" s="215" t="n">
        <v>8</v>
      </c>
      <c r="I134" s="213" t="n">
        <v>5</v>
      </c>
      <c r="J134" s="214"/>
      <c r="K134" s="212" t="n">
        <v>16</v>
      </c>
      <c r="L134" s="213" t="n">
        <v>10</v>
      </c>
      <c r="M134" s="214"/>
      <c r="N134" s="212" t="n">
        <v>120</v>
      </c>
      <c r="O134" s="213" t="n">
        <v>62</v>
      </c>
      <c r="P134" s="214"/>
      <c r="Q134" s="92" t="n">
        <f aca="false">SUM(E134:P134)</f>
        <v>234</v>
      </c>
      <c r="R134" s="80" t="n">
        <f aca="false">+(E134*100)+(F134*150)+(G134*200)+(H134*52)+(I134*65.5)+(J134*81)+(K134*48)+(L134*63)+(M134*77.5)+(N134*46)+(O134*59)+(P134*72.5)</f>
        <v>12869.5</v>
      </c>
      <c r="S134" s="74"/>
      <c r="T134" s="74"/>
      <c r="U134" s="74"/>
    </row>
    <row r="135" customFormat="false" ht="13.2" hidden="false" customHeight="false" outlineLevel="0" collapsed="false">
      <c r="A135" s="47" t="n">
        <v>25</v>
      </c>
      <c r="B135" s="205" t="n">
        <v>36722</v>
      </c>
      <c r="C135" s="204" t="n">
        <v>1</v>
      </c>
      <c r="D135" s="74" t="n">
        <v>20</v>
      </c>
      <c r="E135" s="212"/>
      <c r="F135" s="213" t="n">
        <v>13</v>
      </c>
      <c r="G135" s="214"/>
      <c r="H135" s="215"/>
      <c r="I135" s="216" t="n">
        <v>13</v>
      </c>
      <c r="J135" s="214"/>
      <c r="K135" s="215"/>
      <c r="L135" s="213" t="n">
        <v>26</v>
      </c>
      <c r="M135" s="214"/>
      <c r="N135" s="212"/>
      <c r="O135" s="213" t="n">
        <v>182</v>
      </c>
      <c r="P135" s="214"/>
      <c r="Q135" s="92" t="n">
        <f aca="false">SUM(E135:P135)</f>
        <v>234</v>
      </c>
      <c r="R135" s="80" t="n">
        <f aca="false">+(E135*100)+(F135*150)+(G135*200)+(H135*52)+(I135*65.5)+(J135*81)+(K135*48)+(L135*63)+(M135*77.5)+(N135*46)+(O135*59)+(P135*72.5)</f>
        <v>15177.5</v>
      </c>
      <c r="S135" s="74" t="s">
        <v>190</v>
      </c>
      <c r="T135" s="92" t="n">
        <f aca="false">SUM(N130:N136)+SUM(H130:H136)+SUM(K130:K136)</f>
        <v>664</v>
      </c>
      <c r="U135" s="74"/>
    </row>
    <row r="136" customFormat="false" ht="13.2" hidden="false" customHeight="false" outlineLevel="0" collapsed="false">
      <c r="A136" s="47" t="n">
        <v>26</v>
      </c>
      <c r="B136" s="205" t="n">
        <v>36723</v>
      </c>
      <c r="C136" s="204" t="n">
        <v>1</v>
      </c>
      <c r="D136" s="74" t="n">
        <v>20</v>
      </c>
      <c r="E136" s="212"/>
      <c r="F136" s="213"/>
      <c r="G136" s="214" t="n">
        <v>13</v>
      </c>
      <c r="H136" s="215"/>
      <c r="I136" s="216"/>
      <c r="J136" s="217" t="n">
        <v>13</v>
      </c>
      <c r="K136" s="212"/>
      <c r="L136" s="213"/>
      <c r="M136" s="214" t="n">
        <v>26</v>
      </c>
      <c r="N136" s="212"/>
      <c r="O136" s="213"/>
      <c r="P136" s="214" t="n">
        <v>182</v>
      </c>
      <c r="Q136" s="92" t="n">
        <f aca="false">SUM(E136:P136)</f>
        <v>234</v>
      </c>
      <c r="R136" s="80" t="n">
        <f aca="false">+(E136*100)+(F136*150)+(G136*200)+(H136*52)+(I136*65.5)+(J136*81)+(K136*48)+(L136*63)+(M136*77.5)+(N136*46)+(O136*59)+(P136*72.5)</f>
        <v>18863</v>
      </c>
      <c r="S136" s="74" t="s">
        <v>191</v>
      </c>
      <c r="T136" s="92" t="n">
        <f aca="false">SUM(O130:O136)+SUM(I130:I136)+SUM(L130:L136)</f>
        <v>580</v>
      </c>
      <c r="U136" s="74"/>
    </row>
    <row r="137" customFormat="false" ht="13.2" hidden="false" customHeight="false" outlineLevel="0" collapsed="false">
      <c r="A137" s="47" t="n">
        <v>27</v>
      </c>
      <c r="B137" s="205" t="n">
        <v>36724</v>
      </c>
      <c r="C137" s="204" t="n">
        <v>1</v>
      </c>
      <c r="D137" s="74" t="n">
        <v>22</v>
      </c>
      <c r="E137" s="212" t="n">
        <v>8</v>
      </c>
      <c r="F137" s="213" t="n">
        <v>5</v>
      </c>
      <c r="G137" s="214"/>
      <c r="H137" s="215" t="n">
        <v>8</v>
      </c>
      <c r="I137" s="216" t="n">
        <v>5</v>
      </c>
      <c r="J137" s="217"/>
      <c r="K137" s="212" t="n">
        <v>16</v>
      </c>
      <c r="L137" s="213" t="n">
        <v>10</v>
      </c>
      <c r="M137" s="214"/>
      <c r="N137" s="212" t="n">
        <v>112</v>
      </c>
      <c r="O137" s="213" t="n">
        <v>57</v>
      </c>
      <c r="P137" s="214"/>
      <c r="Q137" s="92" t="n">
        <f aca="false">SUM(E137:P137)</f>
        <v>221</v>
      </c>
      <c r="R137" s="80" t="n">
        <f aca="false">+(E137*100)+(F137*150)+(G137*200)+(H137*52)+(I137*65.5)+(J137*81)+(K137*48)+(L137*63)+(M137*77.5)+(N137*46)+(O137*59)+(P137*72.5)</f>
        <v>12206.5</v>
      </c>
      <c r="S137" s="74" t="s">
        <v>192</v>
      </c>
      <c r="T137" s="92" t="n">
        <f aca="false">SUM(P130:P136)+SUM(J130:J136)+SUM(M130:M136)</f>
        <v>221</v>
      </c>
      <c r="U137" s="74"/>
    </row>
    <row r="138" customFormat="false" ht="13.2" hidden="false" customHeight="false" outlineLevel="0" collapsed="false">
      <c r="A138" s="47" t="n">
        <v>28</v>
      </c>
      <c r="B138" s="205" t="n">
        <v>36725</v>
      </c>
      <c r="C138" s="204" t="n">
        <v>1</v>
      </c>
      <c r="D138" s="74" t="n">
        <v>22</v>
      </c>
      <c r="E138" s="212" t="n">
        <v>8</v>
      </c>
      <c r="F138" s="213" t="n">
        <v>5</v>
      </c>
      <c r="G138" s="214"/>
      <c r="H138" s="215" t="n">
        <v>8</v>
      </c>
      <c r="I138" s="213" t="n">
        <v>5</v>
      </c>
      <c r="J138" s="217"/>
      <c r="K138" s="212" t="n">
        <v>16</v>
      </c>
      <c r="L138" s="213" t="n">
        <v>10</v>
      </c>
      <c r="M138" s="214"/>
      <c r="N138" s="212" t="n">
        <v>112</v>
      </c>
      <c r="O138" s="213" t="n">
        <v>49</v>
      </c>
      <c r="P138" s="214"/>
      <c r="Q138" s="92" t="n">
        <f aca="false">SUM(E138:P138)</f>
        <v>213</v>
      </c>
      <c r="R138" s="80" t="n">
        <f aca="false">+(E138*100)+(F138*150)+(G138*200)+(H138*52)+(I138*65.5)+(J138*81)+(K138*48)+(L138*63)+(M138*77.5)+(N138*46)+(O138*59)+(P138*72.5)</f>
        <v>11734.5</v>
      </c>
      <c r="S138" s="74" t="s">
        <v>143</v>
      </c>
      <c r="T138" s="92" t="n">
        <f aca="false">SUM(Q130:Q136)</f>
        <v>1564</v>
      </c>
    </row>
    <row r="139" customFormat="false" ht="13.2" hidden="false" customHeight="false" outlineLevel="0" collapsed="false">
      <c r="A139" s="47" t="n">
        <v>29</v>
      </c>
      <c r="B139" s="205" t="n">
        <v>36726</v>
      </c>
      <c r="C139" s="204" t="n">
        <v>1</v>
      </c>
      <c r="D139" s="74" t="n">
        <v>22</v>
      </c>
      <c r="E139" s="212" t="n">
        <v>8</v>
      </c>
      <c r="F139" s="213" t="n">
        <v>6</v>
      </c>
      <c r="G139" s="214"/>
      <c r="H139" s="215" t="n">
        <v>8</v>
      </c>
      <c r="I139" s="213" t="n">
        <v>6</v>
      </c>
      <c r="J139" s="217"/>
      <c r="K139" s="212" t="n">
        <v>16</v>
      </c>
      <c r="L139" s="213" t="n">
        <v>10</v>
      </c>
      <c r="M139" s="214"/>
      <c r="N139" s="212" t="n">
        <v>96</v>
      </c>
      <c r="O139" s="213" t="n">
        <v>62</v>
      </c>
      <c r="P139" s="214"/>
      <c r="Q139" s="92" t="n">
        <f aca="false">SUM(E139:P139)</f>
        <v>212</v>
      </c>
      <c r="R139" s="80" t="n">
        <f aca="false">+(E139*100)+(F139*150)+(G139*200)+(H139*52)+(I139*65.5)+(J139*81)+(K139*48)+(L139*63)+(M139*77.5)+(N139*46)+(O139*59)+(P139*72.5)</f>
        <v>11981</v>
      </c>
      <c r="S139" s="74" t="s">
        <v>206</v>
      </c>
      <c r="T139" s="92" t="n">
        <f aca="false">+T135+T136+T137</f>
        <v>1465</v>
      </c>
    </row>
    <row r="140" customFormat="false" ht="13.2" hidden="false" customHeight="false" outlineLevel="0" collapsed="false">
      <c r="A140" s="47" t="n">
        <v>30</v>
      </c>
      <c r="B140" s="205" t="n">
        <v>36727</v>
      </c>
      <c r="C140" s="204" t="n">
        <v>1</v>
      </c>
      <c r="D140" s="74" t="n">
        <v>22</v>
      </c>
      <c r="E140" s="212" t="n">
        <v>8</v>
      </c>
      <c r="F140" s="213" t="n">
        <v>8</v>
      </c>
      <c r="G140" s="214"/>
      <c r="H140" s="215" t="n">
        <v>8</v>
      </c>
      <c r="I140" s="213" t="n">
        <v>8</v>
      </c>
      <c r="J140" s="217"/>
      <c r="K140" s="212" t="n">
        <v>16</v>
      </c>
      <c r="L140" s="213" t="n">
        <v>16</v>
      </c>
      <c r="M140" s="214"/>
      <c r="N140" s="212" t="n">
        <v>96</v>
      </c>
      <c r="O140" s="213" t="n">
        <v>96</v>
      </c>
      <c r="P140" s="214"/>
      <c r="Q140" s="92" t="n">
        <f aca="false">SUM(E140:P140)</f>
        <v>256</v>
      </c>
      <c r="R140" s="80" t="n">
        <f aca="false">+(E140*100)+(F140*150)+(G140*200)+(H140*52)+(I140*65.5)+(J140*81)+(K140*48)+(L140*63)+(M140*77.5)+(N140*46)+(O140*59)+(P140*72.5)</f>
        <v>14796</v>
      </c>
    </row>
    <row r="141" customFormat="false" ht="13.2" hidden="false" customHeight="false" outlineLevel="0" collapsed="false">
      <c r="A141" s="47" t="n">
        <v>31</v>
      </c>
      <c r="B141" s="205" t="n">
        <v>36728</v>
      </c>
      <c r="C141" s="204" t="n">
        <v>1</v>
      </c>
      <c r="D141" s="74" t="n">
        <v>22</v>
      </c>
      <c r="E141" s="212"/>
      <c r="F141" s="213"/>
      <c r="G141" s="214"/>
      <c r="H141" s="215" t="n">
        <v>8</v>
      </c>
      <c r="I141" s="213" t="n">
        <v>5</v>
      </c>
      <c r="J141" s="217"/>
      <c r="K141" s="212" t="n">
        <v>16</v>
      </c>
      <c r="L141" s="213" t="n">
        <v>10</v>
      </c>
      <c r="M141" s="214"/>
      <c r="N141" s="212" t="n">
        <v>88</v>
      </c>
      <c r="O141" s="213" t="n">
        <v>44</v>
      </c>
      <c r="P141" s="214"/>
      <c r="Q141" s="92" t="n">
        <f aca="false">SUM(E141:P141)</f>
        <v>171</v>
      </c>
      <c r="R141" s="80" t="n">
        <f aca="false">+(E141*100)+(F141*150)+(G141*200)+(H141*52)+(I141*65.5)+(J141*81)+(K141*48)+(L141*63)+(M141*77.5)+(N141*46)+(O141*59)+(P141*72.5)</f>
        <v>8785.5</v>
      </c>
    </row>
    <row r="142" customFormat="false" ht="13.2" hidden="false" customHeight="false" outlineLevel="0" collapsed="false">
      <c r="A142" s="47" t="n">
        <v>32</v>
      </c>
      <c r="B142" s="205" t="n">
        <v>36729</v>
      </c>
      <c r="C142" s="204" t="n">
        <v>1</v>
      </c>
      <c r="D142" s="74" t="n">
        <v>22</v>
      </c>
      <c r="E142" s="212"/>
      <c r="F142" s="213"/>
      <c r="G142" s="214"/>
      <c r="H142" s="215"/>
      <c r="I142" s="216" t="n">
        <v>13</v>
      </c>
      <c r="J142" s="214"/>
      <c r="K142" s="215"/>
      <c r="L142" s="213" t="n">
        <v>26</v>
      </c>
      <c r="M142" s="214"/>
      <c r="N142" s="212"/>
      <c r="O142" s="213" t="n">
        <v>105</v>
      </c>
      <c r="P142" s="214"/>
      <c r="Q142" s="92" t="n">
        <f aca="false">SUM(E142:P142)</f>
        <v>144</v>
      </c>
      <c r="R142" s="80" t="n">
        <f aca="false">+(E142*100)+(F142*150)+(G142*200)+(H142*52)+(I142*65.5)+(J142*81)+(K142*48)+(L142*63)+(M142*77.5)+(N142*46)+(O142*59)+(P142*72.5)</f>
        <v>8684.5</v>
      </c>
      <c r="S142" s="74" t="s">
        <v>190</v>
      </c>
      <c r="T142" s="92" t="n">
        <f aca="false">SUM(N137:N143)+SUM(H137:H143)+SUM(K137:K143)</f>
        <v>624</v>
      </c>
    </row>
    <row r="143" customFormat="false" ht="13.2" hidden="false" customHeight="false" outlineLevel="0" collapsed="false">
      <c r="A143" s="47" t="n">
        <v>33</v>
      </c>
      <c r="B143" s="205" t="n">
        <v>36730</v>
      </c>
      <c r="C143" s="204" t="n">
        <v>1</v>
      </c>
      <c r="D143" s="74" t="n">
        <v>22</v>
      </c>
      <c r="E143" s="212"/>
      <c r="F143" s="213"/>
      <c r="G143" s="214"/>
      <c r="H143" s="215"/>
      <c r="I143" s="216"/>
      <c r="J143" s="217" t="n">
        <v>13</v>
      </c>
      <c r="K143" s="215"/>
      <c r="L143" s="213"/>
      <c r="M143" s="214" t="n">
        <v>26</v>
      </c>
      <c r="N143" s="212"/>
      <c r="O143" s="213"/>
      <c r="P143" s="214" t="n">
        <v>49</v>
      </c>
      <c r="Q143" s="92" t="n">
        <f aca="false">SUM(E143:P143)</f>
        <v>88</v>
      </c>
      <c r="R143" s="80" t="n">
        <f aca="false">+(E143*100)+(F143*150)+(G143*200)+(H143*52)+(I143*65.5)+(J143*81)+(K143*48)+(L143*63)+(M143*77.5)+(N143*46)+(O143*59)+(P143*72.5)</f>
        <v>6620.5</v>
      </c>
      <c r="S143" s="74" t="s">
        <v>191</v>
      </c>
      <c r="T143" s="92" t="n">
        <f aca="false">SUM(O137:O143)+SUM(I137:I143)+SUM(L137:L143)</f>
        <v>537</v>
      </c>
    </row>
    <row r="144" customFormat="false" ht="13.2" hidden="false" customHeight="false" outlineLevel="0" collapsed="false">
      <c r="A144" s="47" t="n">
        <v>34</v>
      </c>
      <c r="B144" s="205" t="n">
        <v>36731</v>
      </c>
      <c r="C144" s="204" t="n">
        <v>1</v>
      </c>
      <c r="D144" s="74" t="n">
        <v>23</v>
      </c>
      <c r="E144" s="224"/>
      <c r="F144" s="114"/>
      <c r="G144" s="225"/>
      <c r="H144" s="227" t="n">
        <v>8</v>
      </c>
      <c r="I144" s="230"/>
      <c r="J144" s="229"/>
      <c r="K144" s="239" t="n">
        <v>16</v>
      </c>
      <c r="L144" s="230" t="n">
        <v>10</v>
      </c>
      <c r="M144" s="231"/>
      <c r="N144" s="239" t="n">
        <v>24</v>
      </c>
      <c r="O144" s="230" t="n">
        <v>8</v>
      </c>
      <c r="P144" s="225"/>
      <c r="Q144" s="92" t="n">
        <f aca="false">SUM(E144:P144)</f>
        <v>66</v>
      </c>
      <c r="R144" s="80" t="n">
        <f aca="false">+(E144*100)+(F144*150)+(G144*200)+(H144*52)+(I144*65.5)+(J144*81)+(K144*48)+(L144*63)+(M144*77.5)+(N144*46)+(O144*59)+(P144*72.5)</f>
        <v>3390</v>
      </c>
      <c r="S144" s="74" t="s">
        <v>192</v>
      </c>
      <c r="T144" s="92" t="n">
        <f aca="false">SUM(P137:P143)+SUM(J137:J143)+SUM(M137:M143)</f>
        <v>88</v>
      </c>
    </row>
    <row r="145" customFormat="false" ht="13.2" hidden="false" customHeight="false" outlineLevel="0" collapsed="false">
      <c r="A145" s="47" t="n">
        <v>35</v>
      </c>
      <c r="B145" s="205" t="n">
        <v>36732</v>
      </c>
      <c r="C145" s="204" t="n">
        <v>1</v>
      </c>
      <c r="D145" s="74" t="n">
        <v>23</v>
      </c>
      <c r="E145" s="224"/>
      <c r="F145" s="114"/>
      <c r="G145" s="225"/>
      <c r="H145" s="226"/>
      <c r="I145" s="121"/>
      <c r="J145" s="232"/>
      <c r="K145" s="239" t="n">
        <v>16</v>
      </c>
      <c r="L145" s="230" t="n">
        <v>10</v>
      </c>
      <c r="M145" s="231"/>
      <c r="N145" s="239" t="n">
        <v>16</v>
      </c>
      <c r="O145" s="230" t="n">
        <v>8</v>
      </c>
      <c r="P145" s="225"/>
      <c r="Q145" s="92" t="n">
        <f aca="false">SUM(E145:P145)</f>
        <v>50</v>
      </c>
      <c r="R145" s="80" t="n">
        <f aca="false">+(E145*100)+(F145*150)+(G145*200)+(H145*52)+(I145*65.5)+(J145*81)+(K145*48)+(L145*63)+(M145*77.5)+(N145*46)+(O145*59)+(P145*72.5)</f>
        <v>2606</v>
      </c>
      <c r="S145" s="74" t="s">
        <v>143</v>
      </c>
      <c r="T145" s="92" t="n">
        <f aca="false">SUM(Q137:Q143)</f>
        <v>1305</v>
      </c>
    </row>
    <row r="146" customFormat="false" ht="13.2" hidden="false" customHeight="false" outlineLevel="0" collapsed="false">
      <c r="A146" s="47" t="n">
        <v>36</v>
      </c>
      <c r="B146" s="205" t="n">
        <v>36733</v>
      </c>
      <c r="C146" s="204" t="n">
        <v>1</v>
      </c>
      <c r="D146" s="74" t="n">
        <v>23</v>
      </c>
      <c r="E146" s="224"/>
      <c r="F146" s="114"/>
      <c r="G146" s="225"/>
      <c r="H146" s="226"/>
      <c r="I146" s="114"/>
      <c r="J146" s="232"/>
      <c r="K146" s="239" t="n">
        <v>16</v>
      </c>
      <c r="L146" s="230" t="n">
        <v>10</v>
      </c>
      <c r="M146" s="231"/>
      <c r="N146" s="239" t="n">
        <v>16</v>
      </c>
      <c r="O146" s="230" t="n">
        <v>8</v>
      </c>
      <c r="P146" s="225"/>
      <c r="Q146" s="92" t="n">
        <f aca="false">SUM(E146:P146)</f>
        <v>50</v>
      </c>
      <c r="R146" s="80" t="n">
        <f aca="false">+(E146*100)+(F146*150)+(G146*200)+(H146*52)+(I146*65.5)+(J146*81)+(K146*48)+(L146*63)+(M146*77.5)+(N146*46)+(O146*59)+(P146*72.5)</f>
        <v>2606</v>
      </c>
      <c r="S146" s="74" t="s">
        <v>206</v>
      </c>
      <c r="T146" s="92" t="n">
        <f aca="false">+T142+T143+T144</f>
        <v>1249</v>
      </c>
    </row>
    <row r="147" customFormat="false" ht="13.2" hidden="false" customHeight="false" outlineLevel="0" collapsed="false">
      <c r="A147" s="47" t="n">
        <v>37</v>
      </c>
      <c r="B147" s="205" t="n">
        <v>36734</v>
      </c>
      <c r="C147" s="204" t="n">
        <v>1</v>
      </c>
      <c r="D147" s="74" t="n">
        <v>23</v>
      </c>
      <c r="E147" s="224"/>
      <c r="F147" s="114"/>
      <c r="G147" s="225"/>
      <c r="H147" s="226"/>
      <c r="I147" s="114"/>
      <c r="J147" s="232"/>
      <c r="K147" s="239" t="n">
        <v>16</v>
      </c>
      <c r="L147" s="230" t="n">
        <v>10</v>
      </c>
      <c r="M147" s="231"/>
      <c r="N147" s="239" t="n">
        <v>16</v>
      </c>
      <c r="O147" s="230" t="n">
        <v>8</v>
      </c>
      <c r="P147" s="225"/>
      <c r="Q147" s="92" t="n">
        <f aca="false">SUM(E147:P147)</f>
        <v>50</v>
      </c>
      <c r="R147" s="80" t="n">
        <f aca="false">+(E147*100)+(F147*150)+(G147*200)+(H147*52)+(I147*65.5)+(J147*81)+(K147*48)+(L147*63)+(M147*77.5)+(N147*46)+(O147*59)+(P147*72.5)</f>
        <v>2606</v>
      </c>
    </row>
    <row r="148" customFormat="false" ht="13.2" hidden="false" customHeight="false" outlineLevel="0" collapsed="false">
      <c r="A148" s="47" t="n">
        <v>38</v>
      </c>
      <c r="B148" s="205" t="n">
        <v>36735</v>
      </c>
      <c r="C148" s="204" t="n">
        <v>1</v>
      </c>
      <c r="D148" s="74" t="n">
        <v>23</v>
      </c>
      <c r="E148" s="224"/>
      <c r="F148" s="114"/>
      <c r="G148" s="225"/>
      <c r="H148" s="226"/>
      <c r="I148" s="114"/>
      <c r="J148" s="232"/>
      <c r="K148" s="239" t="n">
        <v>16</v>
      </c>
      <c r="L148" s="230" t="n">
        <v>10</v>
      </c>
      <c r="M148" s="231"/>
      <c r="N148" s="239" t="n">
        <v>16</v>
      </c>
      <c r="O148" s="230" t="n">
        <v>8</v>
      </c>
      <c r="P148" s="225"/>
      <c r="Q148" s="92" t="n">
        <f aca="false">SUM(E148:P148)</f>
        <v>50</v>
      </c>
      <c r="R148" s="80" t="n">
        <f aca="false">+(E148*100)+(F148*150)+(G148*200)+(H148*52)+(I148*65.5)+(J148*81)+(K148*48)+(L148*63)+(M148*77.5)+(N148*46)+(O148*59)+(P148*72.5)</f>
        <v>2606</v>
      </c>
    </row>
    <row r="149" customFormat="false" ht="13.2" hidden="false" customHeight="false" outlineLevel="0" collapsed="false">
      <c r="A149" s="47" t="n">
        <v>39</v>
      </c>
      <c r="B149" s="205" t="n">
        <v>36736</v>
      </c>
      <c r="C149" s="204" t="n">
        <v>1</v>
      </c>
      <c r="D149" s="74" t="n">
        <v>23</v>
      </c>
      <c r="E149" s="224"/>
      <c r="F149" s="114"/>
      <c r="G149" s="225"/>
      <c r="H149" s="226"/>
      <c r="I149" s="114"/>
      <c r="J149" s="232"/>
      <c r="K149" s="227"/>
      <c r="L149" s="230" t="n">
        <v>26</v>
      </c>
      <c r="M149" s="231"/>
      <c r="N149" s="239"/>
      <c r="O149" s="230" t="n">
        <v>24</v>
      </c>
      <c r="P149" s="225"/>
      <c r="Q149" s="92" t="n">
        <f aca="false">SUM(E149:P149)</f>
        <v>50</v>
      </c>
      <c r="R149" s="80" t="n">
        <f aca="false">+(E149*100)+(F149*150)+(G149*200)+(H149*52)+(I149*65.5)+(J149*81)+(K149*48)+(L149*63)+(M149*77.5)+(N149*46)+(O149*59)+(P149*72.5)</f>
        <v>3054</v>
      </c>
      <c r="S149" s="74" t="s">
        <v>190</v>
      </c>
      <c r="T149" s="92" t="n">
        <f aca="false">SUM(N144:N150)+SUM(H144:H150)+SUM(K144:K150)</f>
        <v>176</v>
      </c>
    </row>
    <row r="150" customFormat="false" ht="13.2" hidden="false" customHeight="false" outlineLevel="0" collapsed="false">
      <c r="A150" s="47" t="n">
        <v>40</v>
      </c>
      <c r="B150" s="205" t="n">
        <v>36737</v>
      </c>
      <c r="C150" s="204" t="n">
        <v>1</v>
      </c>
      <c r="D150" s="74" t="n">
        <v>23</v>
      </c>
      <c r="E150" s="224"/>
      <c r="F150" s="114"/>
      <c r="G150" s="225"/>
      <c r="H150" s="226"/>
      <c r="I150" s="114"/>
      <c r="J150" s="232"/>
      <c r="K150" s="226"/>
      <c r="L150" s="114"/>
      <c r="M150" s="231" t="n">
        <v>26</v>
      </c>
      <c r="N150" s="239"/>
      <c r="O150" s="230"/>
      <c r="P150" s="231" t="n">
        <v>24</v>
      </c>
      <c r="Q150" s="92" t="n">
        <f aca="false">SUM(E150:P150)</f>
        <v>50</v>
      </c>
      <c r="R150" s="80" t="n">
        <f aca="false">+(E150*100)+(F150*150)+(G150*200)+(H150*52)+(I150*65.5)+(J150*81)+(K150*48)+(L150*63)+(M150*77.5)+(N150*46)+(O150*59)+(P150*72.5)</f>
        <v>3755</v>
      </c>
      <c r="S150" s="74" t="s">
        <v>191</v>
      </c>
      <c r="T150" s="92" t="n">
        <f aca="false">SUM(O144:O150)+SUM(I144:I150)+SUM(L144:L150)</f>
        <v>140</v>
      </c>
    </row>
    <row r="151" customFormat="false" ht="13.2" hidden="false" customHeight="false" outlineLevel="0" collapsed="false">
      <c r="E151" s="240"/>
      <c r="F151" s="241"/>
      <c r="G151" s="242"/>
      <c r="H151" s="243"/>
      <c r="I151" s="244"/>
      <c r="J151" s="245"/>
      <c r="K151" s="243"/>
      <c r="L151" s="244"/>
      <c r="M151" s="245"/>
      <c r="N151" s="243"/>
      <c r="O151" s="244"/>
      <c r="P151" s="245"/>
      <c r="Q151" s="92"/>
      <c r="R151" s="80"/>
      <c r="S151" s="74" t="s">
        <v>192</v>
      </c>
      <c r="T151" s="92" t="n">
        <f aca="false">SUM(P144:P150)+SUM(J144:J150)+SUM(M144:M150)</f>
        <v>50</v>
      </c>
    </row>
    <row r="152" customFormat="false" ht="13.2" hidden="false" customHeight="false" outlineLevel="0" collapsed="false">
      <c r="B152" s="73" t="s">
        <v>156</v>
      </c>
      <c r="C152" s="82"/>
      <c r="D152" s="82"/>
      <c r="E152" s="203" t="n">
        <f aca="false">SUM(E111:E151)</f>
        <v>80</v>
      </c>
      <c r="F152" s="203" t="n">
        <f aca="false">SUM(F111:F151)</f>
        <v>62</v>
      </c>
      <c r="G152" s="203" t="n">
        <f aca="false">SUM(G111:G151)</f>
        <v>13</v>
      </c>
      <c r="H152" s="203" t="n">
        <f aca="false">SUM(H111:H151)</f>
        <v>184</v>
      </c>
      <c r="I152" s="203" t="n">
        <f aca="false">SUM(I111:I151)</f>
        <v>179</v>
      </c>
      <c r="J152" s="203" t="n">
        <f aca="false">SUM(J111:J151)</f>
        <v>81</v>
      </c>
      <c r="K152" s="203" t="n">
        <f aca="false">SUM(K111:K151)</f>
        <v>424</v>
      </c>
      <c r="L152" s="203" t="n">
        <f aca="false">SUM(L111:L151)</f>
        <v>407</v>
      </c>
      <c r="M152" s="203" t="n">
        <f aca="false">SUM(M111:M151)</f>
        <v>184</v>
      </c>
      <c r="N152" s="203" t="n">
        <f aca="false">SUM(N111:N151)</f>
        <v>2344</v>
      </c>
      <c r="O152" s="203" t="n">
        <f aca="false">SUM(O111:O151)</f>
        <v>1983</v>
      </c>
      <c r="P152" s="203" t="n">
        <f aca="false">SUM(P111:P151)</f>
        <v>912</v>
      </c>
      <c r="Q152" s="203" t="n">
        <f aca="false">SUM(Q111:Q151)</f>
        <v>6853</v>
      </c>
      <c r="R152" s="75" t="n">
        <f aca="false">SUM(R111:R151)</f>
        <v>398947.5</v>
      </c>
      <c r="S152" s="74" t="s">
        <v>143</v>
      </c>
      <c r="T152" s="92" t="n">
        <f aca="false">SUM(Q144:Q150)</f>
        <v>366</v>
      </c>
    </row>
    <row r="153" customFormat="false" ht="13.2" hidden="false" customHeight="false" outlineLevel="0" collapsed="false">
      <c r="B153" s="73" t="s">
        <v>199</v>
      </c>
      <c r="C153" s="246"/>
      <c r="D153" s="246"/>
      <c r="E153" s="75" t="n">
        <v>100</v>
      </c>
      <c r="F153" s="75" t="n">
        <v>150</v>
      </c>
      <c r="G153" s="80" t="n">
        <v>200</v>
      </c>
      <c r="H153" s="80" t="n">
        <v>52</v>
      </c>
      <c r="I153" s="80" t="n">
        <v>65.5</v>
      </c>
      <c r="J153" s="80" t="n">
        <v>81</v>
      </c>
      <c r="K153" s="80" t="n">
        <v>48</v>
      </c>
      <c r="L153" s="80" t="n">
        <v>63</v>
      </c>
      <c r="M153" s="80" t="n">
        <v>77.5</v>
      </c>
      <c r="N153" s="80" t="n">
        <v>46</v>
      </c>
      <c r="O153" s="80" t="n">
        <v>59</v>
      </c>
      <c r="P153" s="80" t="n">
        <v>72.5</v>
      </c>
      <c r="Q153" s="80"/>
      <c r="R153" s="80"/>
      <c r="S153" s="74" t="s">
        <v>206</v>
      </c>
      <c r="T153" s="92" t="n">
        <f aca="false">+T149+T150+T151</f>
        <v>366</v>
      </c>
    </row>
    <row r="154" customFormat="false" ht="13.2" hidden="false" customHeight="false" outlineLevel="0" collapsed="false">
      <c r="B154" s="73" t="s">
        <v>200</v>
      </c>
      <c r="C154" s="246"/>
      <c r="D154" s="74"/>
      <c r="E154" s="247" t="n">
        <f aca="false">SUM(E111:E151)*E153</f>
        <v>8000</v>
      </c>
      <c r="F154" s="247" t="n">
        <f aca="false">SUM(F111:F151)*F153</f>
        <v>9300</v>
      </c>
      <c r="G154" s="247" t="n">
        <f aca="false">SUM(G111:G151)*G153</f>
        <v>2600</v>
      </c>
      <c r="H154" s="247" t="n">
        <f aca="false">SUM(H111:H151)*H153</f>
        <v>9568</v>
      </c>
      <c r="I154" s="247" t="n">
        <f aca="false">SUM(I111:I151)*I153</f>
        <v>11724.5</v>
      </c>
      <c r="J154" s="247" t="n">
        <f aca="false">SUM(J111:J151)*J153</f>
        <v>6561</v>
      </c>
      <c r="K154" s="247" t="n">
        <f aca="false">SUM(K111:K151)*K153</f>
        <v>20352</v>
      </c>
      <c r="L154" s="247" t="n">
        <f aca="false">SUM(L111:L151)*L153</f>
        <v>25641</v>
      </c>
      <c r="M154" s="247" t="n">
        <f aca="false">SUM(M111:M151)*M153</f>
        <v>14260</v>
      </c>
      <c r="N154" s="247" t="n">
        <f aca="false">SUM(N111:N151)*N153</f>
        <v>107824</v>
      </c>
      <c r="O154" s="247" t="n">
        <f aca="false">SUM(O111:O151)*O153</f>
        <v>116997</v>
      </c>
      <c r="P154" s="247" t="n">
        <f aca="false">SUM(P111:P151)*P153</f>
        <v>66120</v>
      </c>
      <c r="Q154" s="92"/>
      <c r="R154" s="80" t="n">
        <f aca="false">SUM(E154:Q154)</f>
        <v>398947.5</v>
      </c>
    </row>
    <row r="155" customFormat="false" ht="13.2" hidden="false" customHeight="false" outlineLevel="0" collapsed="false">
      <c r="B155" s="73"/>
      <c r="C155" s="74"/>
      <c r="D155" s="74"/>
      <c r="E155" s="92"/>
      <c r="F155" s="92"/>
      <c r="G155" s="92"/>
      <c r="Q155" s="92"/>
      <c r="R155" s="80"/>
    </row>
    <row r="156" customFormat="false" ht="13.2" hidden="false" customHeight="false" outlineLevel="0" collapsed="false">
      <c r="C156" s="73"/>
      <c r="D156" s="74"/>
      <c r="E156" s="92"/>
      <c r="F156" s="92"/>
      <c r="G156" s="92"/>
      <c r="H156" s="92"/>
      <c r="I156" s="92"/>
      <c r="J156" s="92"/>
      <c r="K156" s="92"/>
      <c r="L156" s="92"/>
      <c r="P156" s="92"/>
      <c r="Q156" s="92"/>
      <c r="R156" s="80"/>
    </row>
    <row r="157" customFormat="false" ht="13.2" hidden="false" customHeight="false" outlineLevel="0" collapsed="false">
      <c r="B157" s="73" t="s">
        <v>204</v>
      </c>
      <c r="C157" s="74"/>
      <c r="D157" s="74"/>
      <c r="E157" s="92"/>
      <c r="F157" s="203" t="n">
        <v>40</v>
      </c>
      <c r="G157" s="91" t="s">
        <v>202</v>
      </c>
      <c r="H157" s="81" t="n">
        <v>150</v>
      </c>
      <c r="I157" s="203"/>
      <c r="J157" s="92"/>
      <c r="K157" s="92"/>
      <c r="L157" s="92"/>
      <c r="P157" s="92"/>
      <c r="Q157" s="92"/>
      <c r="R157" s="80" t="n">
        <f aca="false">+F157*H157</f>
        <v>6000</v>
      </c>
    </row>
    <row r="158" customFormat="false" ht="13.2" hidden="false" customHeight="false" outlineLevel="0" collapsed="false">
      <c r="B158" s="73"/>
      <c r="C158" s="74"/>
      <c r="D158" s="74"/>
      <c r="E158" s="92"/>
      <c r="F158" s="203"/>
      <c r="G158" s="91"/>
      <c r="H158" s="81"/>
      <c r="I158" s="203"/>
      <c r="J158" s="92"/>
      <c r="K158" s="92"/>
      <c r="L158" s="92"/>
      <c r="P158" s="92"/>
      <c r="Q158" s="92"/>
      <c r="R158" s="80"/>
    </row>
    <row r="159" customFormat="false" ht="13.2" hidden="false" customHeight="false" outlineLevel="0" collapsed="false">
      <c r="B159" s="73"/>
      <c r="C159" s="196" t="s">
        <v>180</v>
      </c>
      <c r="D159" s="196"/>
      <c r="E159" s="197"/>
      <c r="F159" s="197"/>
      <c r="G159" s="197"/>
      <c r="H159" s="197"/>
      <c r="I159" s="203"/>
      <c r="J159" s="92"/>
      <c r="K159" s="92"/>
      <c r="L159" s="92"/>
      <c r="M159" s="92"/>
      <c r="P159" s="92"/>
      <c r="Q159" s="92"/>
      <c r="R159" s="80"/>
    </row>
    <row r="160" customFormat="false" ht="13.2" hidden="false" customHeight="false" outlineLevel="0" collapsed="false">
      <c r="B160" s="201" t="s">
        <v>165</v>
      </c>
      <c r="C160" s="74"/>
      <c r="D160" s="61" t="s">
        <v>147</v>
      </c>
      <c r="E160" s="92"/>
      <c r="F160" s="202" t="s">
        <v>182</v>
      </c>
      <c r="G160" s="92"/>
      <c r="H160" s="92"/>
      <c r="I160" s="202" t="s">
        <v>183</v>
      </c>
      <c r="J160" s="92"/>
      <c r="K160" s="91"/>
      <c r="L160" s="202" t="s">
        <v>184</v>
      </c>
      <c r="M160" s="92"/>
      <c r="N160" s="92"/>
      <c r="O160" s="202" t="s">
        <v>185</v>
      </c>
      <c r="P160" s="92"/>
      <c r="Q160" s="92"/>
      <c r="R160" s="202" t="s">
        <v>186</v>
      </c>
      <c r="S160" s="92"/>
      <c r="T160" s="203" t="s">
        <v>143</v>
      </c>
      <c r="U160" s="75" t="s">
        <v>143</v>
      </c>
    </row>
    <row r="161" customFormat="false" ht="13.2" hidden="false" customHeight="false" outlineLevel="0" collapsed="false">
      <c r="B161" s="73" t="s">
        <v>187</v>
      </c>
      <c r="C161" s="204" t="s">
        <v>188</v>
      </c>
      <c r="D161" s="204" t="s">
        <v>189</v>
      </c>
      <c r="E161" s="203" t="s">
        <v>190</v>
      </c>
      <c r="F161" s="203" t="s">
        <v>191</v>
      </c>
      <c r="G161" s="203" t="s">
        <v>192</v>
      </c>
      <c r="H161" s="203" t="s">
        <v>190</v>
      </c>
      <c r="I161" s="203" t="s">
        <v>191</v>
      </c>
      <c r="J161" s="203" t="s">
        <v>192</v>
      </c>
      <c r="K161" s="203" t="s">
        <v>190</v>
      </c>
      <c r="L161" s="203" t="s">
        <v>191</v>
      </c>
      <c r="M161" s="203" t="s">
        <v>192</v>
      </c>
      <c r="N161" s="203" t="s">
        <v>190</v>
      </c>
      <c r="O161" s="203" t="s">
        <v>193</v>
      </c>
      <c r="P161" s="203" t="s">
        <v>192</v>
      </c>
      <c r="Q161" s="203" t="s">
        <v>190</v>
      </c>
      <c r="R161" s="203" t="s">
        <v>194</v>
      </c>
      <c r="S161" s="203" t="s">
        <v>195</v>
      </c>
      <c r="T161" s="203" t="s">
        <v>156</v>
      </c>
      <c r="U161" s="75" t="s">
        <v>157</v>
      </c>
    </row>
    <row r="162" customFormat="false" ht="13.2" hidden="false" customHeight="false" outlineLevel="0" collapsed="false">
      <c r="A162" s="47" t="n">
        <v>1</v>
      </c>
      <c r="B162" s="205" t="n">
        <v>36701</v>
      </c>
      <c r="C162" s="204" t="n">
        <v>2</v>
      </c>
      <c r="D162" s="204" t="n">
        <v>3</v>
      </c>
      <c r="E162" s="249"/>
      <c r="F162" s="106"/>
      <c r="G162" s="250"/>
      <c r="H162" s="251"/>
      <c r="I162" s="106"/>
      <c r="J162" s="252"/>
      <c r="K162" s="253"/>
      <c r="L162" s="254"/>
      <c r="M162" s="255"/>
      <c r="N162" s="253"/>
      <c r="O162" s="254"/>
      <c r="P162" s="255"/>
      <c r="Q162" s="256"/>
      <c r="R162" s="254" t="n">
        <v>24</v>
      </c>
      <c r="S162" s="255"/>
      <c r="T162" s="92" t="n">
        <f aca="false">SUM(E162:S162)</f>
        <v>24</v>
      </c>
      <c r="U162" s="80" t="n">
        <f aca="false">+(E162*85)+(F162*95)+(G162*125)+(H162*100)+(I162*150)+(J162*200)+(K162*52)+(L162*65.5)+(M162*81)+(N162*48)+(O162*63)+(P162*77.5)+(Q162*46)+(R162*59)+(S162*72.5)</f>
        <v>1416</v>
      </c>
    </row>
    <row r="163" customFormat="false" ht="13.2" hidden="false" customHeight="false" outlineLevel="0" collapsed="false">
      <c r="A163" s="47" t="n">
        <v>2</v>
      </c>
      <c r="B163" s="205" t="n">
        <v>36704</v>
      </c>
      <c r="C163" s="204" t="n">
        <v>2</v>
      </c>
      <c r="D163" s="204" t="n">
        <v>5</v>
      </c>
      <c r="E163" s="224"/>
      <c r="F163" s="114"/>
      <c r="G163" s="225"/>
      <c r="H163" s="226"/>
      <c r="I163" s="121"/>
      <c r="J163" s="232"/>
      <c r="K163" s="227"/>
      <c r="L163" s="228"/>
      <c r="M163" s="229"/>
      <c r="N163" s="227" t="n">
        <v>8</v>
      </c>
      <c r="O163" s="230" t="n">
        <v>5</v>
      </c>
      <c r="P163" s="229"/>
      <c r="Q163" s="227" t="n">
        <v>40</v>
      </c>
      <c r="R163" s="230" t="n">
        <v>20</v>
      </c>
      <c r="S163" s="231"/>
      <c r="T163" s="92" t="n">
        <f aca="false">SUM(E163:S163)</f>
        <v>73</v>
      </c>
      <c r="U163" s="80" t="n">
        <f aca="false">+(E163*85)+(F163*95)+(G163*125)+(H163*100)+(I163*150)+(J163*200)+(K163*52)+(L163*65.5)+(M163*81)+(N163*48)+(O163*63)+(P163*77.5)+(Q163*46)+(R163*59)+(S163*72.5)</f>
        <v>3719</v>
      </c>
    </row>
    <row r="164" customFormat="false" ht="13.2" hidden="false" customHeight="false" outlineLevel="0" collapsed="false">
      <c r="A164" s="47" t="n">
        <v>3</v>
      </c>
      <c r="B164" s="205" t="n">
        <v>36705</v>
      </c>
      <c r="C164" s="204" t="n">
        <v>2</v>
      </c>
      <c r="D164" s="204" t="n">
        <v>5</v>
      </c>
      <c r="E164" s="224"/>
      <c r="F164" s="114"/>
      <c r="G164" s="225"/>
      <c r="H164" s="226"/>
      <c r="I164" s="121"/>
      <c r="J164" s="232"/>
      <c r="K164" s="227"/>
      <c r="L164" s="228"/>
      <c r="M164" s="229"/>
      <c r="N164" s="227" t="n">
        <v>4</v>
      </c>
      <c r="O164" s="230"/>
      <c r="P164" s="229"/>
      <c r="Q164" s="227" t="n">
        <v>20</v>
      </c>
      <c r="R164" s="230"/>
      <c r="S164" s="231"/>
      <c r="T164" s="92" t="n">
        <f aca="false">SUM(E164:S164)</f>
        <v>24</v>
      </c>
      <c r="U164" s="80" t="n">
        <f aca="false">+(E164*85)+(F164*95)+(G164*125)+(H164*100)+(I164*150)+(J164*200)+(K164*52)+(L164*65.5)+(M164*81)+(N164*48)+(O164*63)+(P164*77.5)+(Q164*46)+(R164*59)+(S164*72.5)</f>
        <v>1112</v>
      </c>
    </row>
    <row r="165" customFormat="false" ht="13.2" hidden="false" customHeight="false" outlineLevel="0" collapsed="false">
      <c r="A165" s="47" t="n">
        <v>4</v>
      </c>
      <c r="B165" s="205" t="n">
        <v>36738</v>
      </c>
      <c r="C165" s="204" t="n">
        <v>2</v>
      </c>
      <c r="D165" s="74" t="n">
        <v>13</v>
      </c>
      <c r="E165" s="224"/>
      <c r="F165" s="114"/>
      <c r="G165" s="225"/>
      <c r="H165" s="226"/>
      <c r="I165" s="114"/>
      <c r="J165" s="232"/>
      <c r="K165" s="227" t="n">
        <v>8</v>
      </c>
      <c r="L165" s="228" t="n">
        <v>5</v>
      </c>
      <c r="M165" s="231"/>
      <c r="N165" s="239" t="n">
        <v>8</v>
      </c>
      <c r="O165" s="230" t="n">
        <v>5</v>
      </c>
      <c r="P165" s="231"/>
      <c r="Q165" s="239" t="n">
        <v>56</v>
      </c>
      <c r="R165" s="230" t="n">
        <v>16</v>
      </c>
      <c r="S165" s="231"/>
      <c r="T165" s="92" t="n">
        <f aca="false">SUM(E165:S165)</f>
        <v>98</v>
      </c>
      <c r="U165" s="80" t="n">
        <f aca="false">+(E165*85)+(F165*95)+(G165*125)+(H165*100)+(I165*150)+(J165*200)+(K165*52)+(L165*65.5)+(M165*81)+(N165*48)+(O165*63)+(P165*77.5)+(Q165*46)+(R165*59)+(S165*72.5)</f>
        <v>4962.5</v>
      </c>
    </row>
    <row r="166" customFormat="false" ht="13.2" hidden="false" customHeight="false" outlineLevel="0" collapsed="false">
      <c r="A166" s="47" t="n">
        <v>5</v>
      </c>
      <c r="B166" s="205" t="n">
        <v>36739</v>
      </c>
      <c r="C166" s="204" t="n">
        <v>2</v>
      </c>
      <c r="D166" s="74" t="n">
        <v>13</v>
      </c>
      <c r="E166" s="224"/>
      <c r="F166" s="114"/>
      <c r="G166" s="225"/>
      <c r="H166" s="226"/>
      <c r="I166" s="114"/>
      <c r="J166" s="232"/>
      <c r="K166" s="227" t="n">
        <v>8</v>
      </c>
      <c r="L166" s="228" t="n">
        <v>4</v>
      </c>
      <c r="M166" s="231"/>
      <c r="N166" s="239" t="n">
        <v>8</v>
      </c>
      <c r="O166" s="230" t="n">
        <v>4</v>
      </c>
      <c r="P166" s="231"/>
      <c r="Q166" s="239" t="n">
        <v>32</v>
      </c>
      <c r="R166" s="230" t="n">
        <v>16</v>
      </c>
      <c r="S166" s="231"/>
      <c r="T166" s="92" t="n">
        <f aca="false">SUM(E166:S166)</f>
        <v>72</v>
      </c>
      <c r="U166" s="80" t="n">
        <f aca="false">+(E166*85)+(F166*95)+(G166*125)+(H166*100)+(I166*150)+(J166*200)+(K166*52)+(L166*65.5)+(M166*81)+(N166*48)+(O166*63)+(P166*77.5)+(Q166*46)+(R166*59)+(S166*72.5)</f>
        <v>3730</v>
      </c>
    </row>
    <row r="167" customFormat="false" ht="13.2" hidden="false" customHeight="false" outlineLevel="0" collapsed="false">
      <c r="A167" s="47" t="n">
        <v>6</v>
      </c>
      <c r="B167" s="205" t="n">
        <v>36740</v>
      </c>
      <c r="C167" s="204" t="n">
        <v>2</v>
      </c>
      <c r="D167" s="74" t="n">
        <v>13</v>
      </c>
      <c r="E167" s="224"/>
      <c r="F167" s="114"/>
      <c r="G167" s="225"/>
      <c r="H167" s="226"/>
      <c r="I167" s="114"/>
      <c r="J167" s="232"/>
      <c r="K167" s="227" t="n">
        <v>8</v>
      </c>
      <c r="L167" s="228" t="n">
        <v>4</v>
      </c>
      <c r="M167" s="231"/>
      <c r="N167" s="239" t="n">
        <v>8</v>
      </c>
      <c r="O167" s="230" t="n">
        <v>4</v>
      </c>
      <c r="P167" s="231"/>
      <c r="Q167" s="239" t="n">
        <v>32</v>
      </c>
      <c r="R167" s="230" t="n">
        <v>16</v>
      </c>
      <c r="S167" s="231"/>
      <c r="T167" s="92" t="n">
        <f aca="false">SUM(E167:S167)</f>
        <v>72</v>
      </c>
      <c r="U167" s="80" t="n">
        <f aca="false">+(E167*85)+(F167*95)+(G167*125)+(H167*100)+(I167*150)+(J167*200)+(K167*52)+(L167*65.5)+(M167*81)+(N167*48)+(O167*63)+(P167*77.5)+(Q167*46)+(R167*59)+(S167*72.5)</f>
        <v>3730</v>
      </c>
    </row>
    <row r="168" customFormat="false" ht="13.2" hidden="false" customHeight="false" outlineLevel="0" collapsed="false">
      <c r="A168" s="47" t="n">
        <v>7</v>
      </c>
      <c r="B168" s="205" t="n">
        <v>36741</v>
      </c>
      <c r="C168" s="204" t="n">
        <v>2</v>
      </c>
      <c r="D168" s="74" t="n">
        <v>13</v>
      </c>
      <c r="E168" s="224"/>
      <c r="F168" s="114"/>
      <c r="G168" s="225"/>
      <c r="H168" s="226"/>
      <c r="I168" s="114"/>
      <c r="J168" s="232"/>
      <c r="K168" s="227" t="n">
        <v>8</v>
      </c>
      <c r="L168" s="228" t="n">
        <v>4</v>
      </c>
      <c r="M168" s="231"/>
      <c r="N168" s="239" t="n">
        <v>8</v>
      </c>
      <c r="O168" s="230" t="n">
        <v>4</v>
      </c>
      <c r="P168" s="231"/>
      <c r="Q168" s="239" t="n">
        <v>32</v>
      </c>
      <c r="R168" s="230" t="n">
        <v>16</v>
      </c>
      <c r="S168" s="231"/>
      <c r="T168" s="92" t="n">
        <f aca="false">SUM(E168:S168)</f>
        <v>72</v>
      </c>
      <c r="U168" s="80" t="n">
        <f aca="false">+(E168*85)+(F168*95)+(G168*125)+(H168*100)+(I168*150)+(J168*200)+(K168*52)+(L168*65.5)+(M168*81)+(N168*48)+(O168*63)+(P168*77.5)+(Q168*46)+(R168*59)+(S168*72.5)</f>
        <v>3730</v>
      </c>
    </row>
    <row r="169" customFormat="false" ht="13.2" hidden="false" customHeight="false" outlineLevel="0" collapsed="false">
      <c r="A169" s="47" t="n">
        <v>8</v>
      </c>
      <c r="B169" s="205" t="n">
        <v>36742</v>
      </c>
      <c r="C169" s="204" t="n">
        <v>2</v>
      </c>
      <c r="D169" s="74" t="n">
        <v>13</v>
      </c>
      <c r="E169" s="224"/>
      <c r="F169" s="114"/>
      <c r="G169" s="225"/>
      <c r="H169" s="226"/>
      <c r="I169" s="114"/>
      <c r="J169" s="232"/>
      <c r="K169" s="227" t="n">
        <v>16</v>
      </c>
      <c r="L169" s="230" t="n">
        <v>4</v>
      </c>
      <c r="M169" s="231"/>
      <c r="N169" s="227" t="n">
        <v>16</v>
      </c>
      <c r="O169" s="230" t="n">
        <v>4</v>
      </c>
      <c r="P169" s="231"/>
      <c r="Q169" s="239" t="n">
        <v>72</v>
      </c>
      <c r="R169" s="230" t="n">
        <v>16</v>
      </c>
      <c r="S169" s="231"/>
      <c r="T169" s="92" t="n">
        <f aca="false">SUM(E169:S169)</f>
        <v>128</v>
      </c>
      <c r="U169" s="80" t="n">
        <f aca="false">+(E169*85)+(F169*95)+(G169*125)+(H169*100)+(I169*150)+(J169*200)+(K169*52)+(L169*65.5)+(M169*81)+(N169*48)+(O169*63)+(P169*77.5)+(Q169*46)+(R169*59)+(S169*72.5)</f>
        <v>6370</v>
      </c>
    </row>
    <row r="170" customFormat="false" ht="13.2" hidden="false" customHeight="false" outlineLevel="0" collapsed="false">
      <c r="E170" s="240"/>
      <c r="F170" s="241"/>
      <c r="G170" s="242"/>
      <c r="H170" s="240"/>
      <c r="I170" s="241"/>
      <c r="J170" s="242"/>
      <c r="K170" s="257"/>
      <c r="L170" s="258"/>
      <c r="M170" s="259"/>
      <c r="N170" s="257"/>
      <c r="O170" s="258"/>
      <c r="P170" s="259"/>
      <c r="Q170" s="257"/>
      <c r="R170" s="258"/>
      <c r="S170" s="259"/>
      <c r="T170" s="92"/>
      <c r="U170" s="80"/>
    </row>
    <row r="171" customFormat="false" ht="13.2" hidden="false" customHeight="false" outlineLevel="0" collapsed="false">
      <c r="B171" s="73" t="s">
        <v>156</v>
      </c>
      <c r="C171" s="82"/>
      <c r="D171" s="82"/>
      <c r="E171" s="203" t="n">
        <f aca="false">SUM(E162:E170)</f>
        <v>0</v>
      </c>
      <c r="F171" s="203" t="n">
        <f aca="false">SUM(F162:F170)</f>
        <v>0</v>
      </c>
      <c r="G171" s="203" t="n">
        <f aca="false">SUM(G162:G170)</f>
        <v>0</v>
      </c>
      <c r="H171" s="203" t="n">
        <f aca="false">SUM(H162:H170)</f>
        <v>0</v>
      </c>
      <c r="I171" s="203" t="n">
        <f aca="false">SUM(I162:I170)</f>
        <v>0</v>
      </c>
      <c r="J171" s="203" t="n">
        <f aca="false">SUM(J162:J170)</f>
        <v>0</v>
      </c>
      <c r="K171" s="203" t="n">
        <f aca="false">SUM(K162:K170)</f>
        <v>48</v>
      </c>
      <c r="L171" s="203" t="n">
        <f aca="false">SUM(L162:L170)</f>
        <v>21</v>
      </c>
      <c r="M171" s="203" t="n">
        <f aca="false">SUM(M162:M170)</f>
        <v>0</v>
      </c>
      <c r="N171" s="203" t="n">
        <f aca="false">SUM(N162:N170)</f>
        <v>60</v>
      </c>
      <c r="O171" s="203" t="n">
        <f aca="false">SUM(O162:O170)</f>
        <v>26</v>
      </c>
      <c r="P171" s="203" t="n">
        <f aca="false">SUM(P162:P170)</f>
        <v>0</v>
      </c>
      <c r="Q171" s="203" t="n">
        <f aca="false">SUM(Q162:Q170)</f>
        <v>284</v>
      </c>
      <c r="R171" s="203" t="n">
        <f aca="false">SUM(R162:R170)</f>
        <v>124</v>
      </c>
      <c r="S171" s="203" t="n">
        <f aca="false">SUM(S162:S170)</f>
        <v>0</v>
      </c>
      <c r="T171" s="203" t="n">
        <f aca="false">SUM(T162:T170)</f>
        <v>563</v>
      </c>
      <c r="U171" s="75" t="n">
        <f aca="false">SUM(U162:U170)</f>
        <v>28769.5</v>
      </c>
    </row>
    <row r="172" customFormat="false" ht="13.2" hidden="false" customHeight="false" outlineLevel="0" collapsed="false">
      <c r="B172" s="73" t="s">
        <v>199</v>
      </c>
      <c r="C172" s="246"/>
      <c r="D172" s="246"/>
      <c r="E172" s="75" t="n">
        <v>85</v>
      </c>
      <c r="F172" s="75" t="n">
        <v>95</v>
      </c>
      <c r="G172" s="80" t="n">
        <v>125</v>
      </c>
      <c r="H172" s="75" t="n">
        <v>100</v>
      </c>
      <c r="I172" s="75" t="n">
        <v>150</v>
      </c>
      <c r="J172" s="80" t="n">
        <v>200</v>
      </c>
      <c r="K172" s="80" t="n">
        <v>52</v>
      </c>
      <c r="L172" s="80" t="n">
        <v>65.5</v>
      </c>
      <c r="M172" s="80" t="n">
        <v>81</v>
      </c>
      <c r="N172" s="80" t="n">
        <v>48</v>
      </c>
      <c r="O172" s="80" t="n">
        <v>63</v>
      </c>
      <c r="P172" s="80" t="n">
        <v>77.5</v>
      </c>
      <c r="Q172" s="80" t="n">
        <v>46</v>
      </c>
      <c r="R172" s="80" t="n">
        <v>59</v>
      </c>
      <c r="S172" s="80" t="n">
        <v>72.5</v>
      </c>
      <c r="T172" s="80"/>
      <c r="U172" s="80"/>
    </row>
    <row r="173" customFormat="false" ht="13.2" hidden="false" customHeight="false" outlineLevel="0" collapsed="false">
      <c r="B173" s="73" t="s">
        <v>200</v>
      </c>
      <c r="E173" s="247" t="n">
        <f aca="false">SUM(E162:E170)*E172</f>
        <v>0</v>
      </c>
      <c r="F173" s="247" t="n">
        <f aca="false">SUM(F162:F170)*F172</f>
        <v>0</v>
      </c>
      <c r="G173" s="247" t="n">
        <f aca="false">SUM(G162:G170)*G172</f>
        <v>0</v>
      </c>
      <c r="H173" s="247" t="n">
        <f aca="false">SUM(H162:H170)*H172</f>
        <v>0</v>
      </c>
      <c r="I173" s="247" t="n">
        <f aca="false">SUM(I162:I170)*I172</f>
        <v>0</v>
      </c>
      <c r="J173" s="247" t="n">
        <f aca="false">SUM(J162:J170)*J172</f>
        <v>0</v>
      </c>
      <c r="K173" s="247" t="n">
        <f aca="false">SUM(K162:K170)*K172</f>
        <v>2496</v>
      </c>
      <c r="L173" s="247" t="n">
        <f aca="false">SUM(L162:L170)*L172</f>
        <v>1375.5</v>
      </c>
      <c r="M173" s="247" t="n">
        <f aca="false">SUM(M162:M170)*M172</f>
        <v>0</v>
      </c>
      <c r="N173" s="247" t="n">
        <f aca="false">SUM(N162:N170)*N172</f>
        <v>2880</v>
      </c>
      <c r="O173" s="247" t="n">
        <f aca="false">SUM(O162:O170)*O172</f>
        <v>1638</v>
      </c>
      <c r="P173" s="247" t="n">
        <f aca="false">SUM(P162:P170)*P172</f>
        <v>0</v>
      </c>
      <c r="Q173" s="92"/>
      <c r="R173" s="80" t="n">
        <f aca="false">SUM(E173:Q173)</f>
        <v>8389.5</v>
      </c>
    </row>
    <row r="177" customFormat="false" ht="13.2" hidden="false" customHeight="false" outlineLevel="0" collapsed="false">
      <c r="B177" s="201" t="s">
        <v>166</v>
      </c>
      <c r="C177" s="74"/>
      <c r="D177" s="61" t="s">
        <v>147</v>
      </c>
      <c r="E177" s="92"/>
      <c r="F177" s="91" t="s">
        <v>183</v>
      </c>
      <c r="G177" s="92"/>
      <c r="H177" s="91"/>
      <c r="I177" s="91" t="s">
        <v>184</v>
      </c>
      <c r="J177" s="92"/>
      <c r="K177" s="92"/>
      <c r="L177" s="91" t="s">
        <v>185</v>
      </c>
      <c r="M177" s="92"/>
      <c r="N177" s="92"/>
      <c r="O177" s="91" t="s">
        <v>186</v>
      </c>
      <c r="P177" s="92"/>
      <c r="Q177" s="203" t="s">
        <v>143</v>
      </c>
      <c r="R177" s="75" t="s">
        <v>143</v>
      </c>
    </row>
    <row r="178" customFormat="false" ht="13.2" hidden="false" customHeight="false" outlineLevel="0" collapsed="false">
      <c r="B178" s="73" t="s">
        <v>187</v>
      </c>
      <c r="C178" s="204" t="s">
        <v>188</v>
      </c>
      <c r="D178" s="204" t="s">
        <v>189</v>
      </c>
      <c r="E178" s="203" t="s">
        <v>190</v>
      </c>
      <c r="F178" s="203" t="s">
        <v>191</v>
      </c>
      <c r="G178" s="203" t="s">
        <v>192</v>
      </c>
      <c r="H178" s="203" t="s">
        <v>190</v>
      </c>
      <c r="I178" s="203" t="s">
        <v>191</v>
      </c>
      <c r="J178" s="203" t="s">
        <v>192</v>
      </c>
      <c r="K178" s="203" t="s">
        <v>190</v>
      </c>
      <c r="L178" s="203" t="s">
        <v>193</v>
      </c>
      <c r="M178" s="203" t="s">
        <v>192</v>
      </c>
      <c r="N178" s="203" t="s">
        <v>190</v>
      </c>
      <c r="O178" s="203" t="s">
        <v>194</v>
      </c>
      <c r="P178" s="203" t="s">
        <v>195</v>
      </c>
      <c r="Q178" s="203" t="s">
        <v>156</v>
      </c>
      <c r="R178" s="75" t="s">
        <v>157</v>
      </c>
    </row>
    <row r="179" customFormat="false" ht="13.2" hidden="false" customHeight="false" outlineLevel="0" collapsed="false">
      <c r="A179" s="47" t="n">
        <v>1</v>
      </c>
      <c r="B179" s="205" t="n">
        <v>36704</v>
      </c>
      <c r="C179" s="204" t="n">
        <v>2</v>
      </c>
      <c r="D179" s="204" t="n">
        <v>17</v>
      </c>
      <c r="E179" s="249"/>
      <c r="F179" s="106"/>
      <c r="G179" s="250"/>
      <c r="H179" s="251"/>
      <c r="I179" s="106"/>
      <c r="J179" s="252"/>
      <c r="K179" s="253" t="n">
        <v>8</v>
      </c>
      <c r="L179" s="254" t="n">
        <v>5</v>
      </c>
      <c r="M179" s="255"/>
      <c r="N179" s="256" t="n">
        <v>40</v>
      </c>
      <c r="O179" s="254" t="n">
        <v>20</v>
      </c>
      <c r="P179" s="255"/>
      <c r="Q179" s="92" t="n">
        <f aca="false">SUM(E179:P179)</f>
        <v>73</v>
      </c>
      <c r="R179" s="80" t="n">
        <f aca="false">+(E179*100)+(F179*150)+(G179*200)+(H179*52)+(I179*65.5)+(J179*81)+(K179*48)+(L179*63)+(M179*77.5)+(N179*46)+(O179*59)+(P179*72.5)</f>
        <v>3719</v>
      </c>
    </row>
    <row r="180" customFormat="false" ht="13.2" hidden="false" customHeight="false" outlineLevel="0" collapsed="false">
      <c r="E180" s="240"/>
      <c r="F180" s="241"/>
      <c r="G180" s="242"/>
      <c r="H180" s="243"/>
      <c r="I180" s="244"/>
      <c r="J180" s="245"/>
      <c r="K180" s="243"/>
      <c r="L180" s="244"/>
      <c r="M180" s="245"/>
      <c r="N180" s="243"/>
      <c r="O180" s="244"/>
      <c r="P180" s="245"/>
      <c r="Q180" s="92"/>
      <c r="R180" s="80"/>
    </row>
    <row r="181" customFormat="false" ht="13.2" hidden="false" customHeight="false" outlineLevel="0" collapsed="false">
      <c r="B181" s="73" t="s">
        <v>156</v>
      </c>
      <c r="C181" s="82"/>
      <c r="D181" s="82"/>
      <c r="E181" s="203" t="n">
        <f aca="false">SUM(E179:E180)</f>
        <v>0</v>
      </c>
      <c r="F181" s="203" t="n">
        <f aca="false">SUM(F179:F180)</f>
        <v>0</v>
      </c>
      <c r="G181" s="203" t="n">
        <f aca="false">SUM(G179:G180)</f>
        <v>0</v>
      </c>
      <c r="H181" s="203" t="n">
        <f aca="false">SUM(H179:H180)</f>
        <v>0</v>
      </c>
      <c r="I181" s="203" t="n">
        <f aca="false">SUM(I179:I180)</f>
        <v>0</v>
      </c>
      <c r="J181" s="203" t="n">
        <f aca="false">SUM(J179:J180)</f>
        <v>0</v>
      </c>
      <c r="K181" s="203" t="n">
        <f aca="false">SUM(K179:K180)</f>
        <v>8</v>
      </c>
      <c r="L181" s="203" t="n">
        <f aca="false">SUM(L179:L180)</f>
        <v>5</v>
      </c>
      <c r="M181" s="203" t="n">
        <f aca="false">SUM(M179:M180)</f>
        <v>0</v>
      </c>
      <c r="N181" s="203" t="n">
        <f aca="false">SUM(N179:N180)</f>
        <v>40</v>
      </c>
      <c r="O181" s="203" t="n">
        <f aca="false">SUM(O179:O180)</f>
        <v>20</v>
      </c>
      <c r="P181" s="203" t="n">
        <f aca="false">SUM(P179:P180)</f>
        <v>0</v>
      </c>
      <c r="Q181" s="203" t="n">
        <f aca="false">SUM(Q179:Q180)</f>
        <v>73</v>
      </c>
      <c r="R181" s="75" t="n">
        <f aca="false">SUM(R179:R180)</f>
        <v>3719</v>
      </c>
    </row>
    <row r="182" customFormat="false" ht="13.2" hidden="false" customHeight="false" outlineLevel="0" collapsed="false">
      <c r="B182" s="73" t="s">
        <v>199</v>
      </c>
      <c r="C182" s="246"/>
      <c r="D182" s="246"/>
      <c r="E182" s="75" t="n">
        <v>100</v>
      </c>
      <c r="F182" s="75" t="n">
        <v>150</v>
      </c>
      <c r="G182" s="80" t="n">
        <v>200</v>
      </c>
      <c r="H182" s="80" t="n">
        <v>52</v>
      </c>
      <c r="I182" s="80" t="n">
        <v>65.5</v>
      </c>
      <c r="J182" s="80" t="n">
        <v>81</v>
      </c>
      <c r="K182" s="80" t="n">
        <v>48</v>
      </c>
      <c r="L182" s="80" t="n">
        <v>63</v>
      </c>
      <c r="M182" s="80" t="n">
        <v>77.5</v>
      </c>
      <c r="N182" s="80" t="n">
        <v>46</v>
      </c>
      <c r="O182" s="80" t="n">
        <v>59</v>
      </c>
      <c r="P182" s="80" t="n">
        <v>72.5</v>
      </c>
      <c r="Q182" s="80"/>
      <c r="R182" s="80"/>
    </row>
    <row r="183" customFormat="false" ht="13.2" hidden="false" customHeight="false" outlineLevel="0" collapsed="false">
      <c r="B183" s="73" t="s">
        <v>200</v>
      </c>
      <c r="E183" s="247" t="n">
        <f aca="false">SUM(E179:E180)*E182</f>
        <v>0</v>
      </c>
      <c r="F183" s="247" t="n">
        <f aca="false">SUM(F179:F180)*F182</f>
        <v>0</v>
      </c>
      <c r="G183" s="247" t="n">
        <f aca="false">SUM(G179:G180)*G182</f>
        <v>0</v>
      </c>
      <c r="H183" s="247" t="n">
        <f aca="false">SUM(H179:H180)*H182</f>
        <v>0</v>
      </c>
      <c r="I183" s="247" t="n">
        <f aca="false">SUM(I179:I180)*I182</f>
        <v>0</v>
      </c>
      <c r="J183" s="247" t="n">
        <f aca="false">SUM(J179:J180)*J182</f>
        <v>0</v>
      </c>
      <c r="K183" s="247" t="n">
        <f aca="false">SUM(K179:K180)*K182</f>
        <v>384</v>
      </c>
      <c r="L183" s="247" t="n">
        <f aca="false">SUM(L179:L180)*L182</f>
        <v>315</v>
      </c>
      <c r="M183" s="247" t="n">
        <f aca="false">SUM(M179:M180)*M182</f>
        <v>0</v>
      </c>
      <c r="N183" s="247" t="n">
        <f aca="false">SUM(N179:N180)*N182</f>
        <v>1840</v>
      </c>
      <c r="O183" s="247" t="n">
        <f aca="false">SUM(O179:O180)*O182</f>
        <v>1180</v>
      </c>
      <c r="P183" s="247" t="n">
        <f aca="false">SUM(P179:P180)*P182</f>
        <v>0</v>
      </c>
      <c r="Q183" s="92"/>
      <c r="R183" s="80" t="n">
        <f aca="false">SUM(E183:Q183)</f>
        <v>3719</v>
      </c>
    </row>
    <row r="186" customFormat="false" ht="13.2" hidden="false" customHeight="false" outlineLevel="0" collapsed="false">
      <c r="C186" s="196" t="s">
        <v>180</v>
      </c>
      <c r="D186" s="196"/>
      <c r="E186" s="197"/>
      <c r="F186" s="197"/>
      <c r="G186" s="197"/>
      <c r="H186" s="197"/>
    </row>
    <row r="187" customFormat="false" ht="13.2" hidden="false" customHeight="false" outlineLevel="0" collapsed="false">
      <c r="B187" s="201" t="s">
        <v>165</v>
      </c>
      <c r="C187" s="74"/>
      <c r="D187" s="61" t="s">
        <v>148</v>
      </c>
      <c r="E187" s="92"/>
      <c r="F187" s="202" t="s">
        <v>182</v>
      </c>
      <c r="G187" s="92"/>
      <c r="H187" s="92"/>
      <c r="I187" s="202" t="s">
        <v>183</v>
      </c>
      <c r="J187" s="92"/>
      <c r="K187" s="91"/>
      <c r="L187" s="202" t="s">
        <v>184</v>
      </c>
      <c r="M187" s="92"/>
      <c r="N187" s="92"/>
      <c r="O187" s="202" t="s">
        <v>185</v>
      </c>
      <c r="P187" s="92"/>
      <c r="Q187" s="92"/>
      <c r="R187" s="202" t="s">
        <v>186</v>
      </c>
      <c r="S187" s="92"/>
      <c r="T187" s="203" t="s">
        <v>143</v>
      </c>
      <c r="U187" s="75" t="s">
        <v>143</v>
      </c>
    </row>
    <row r="188" customFormat="false" ht="13.2" hidden="false" customHeight="false" outlineLevel="0" collapsed="false">
      <c r="B188" s="73" t="s">
        <v>187</v>
      </c>
      <c r="C188" s="204" t="s">
        <v>188</v>
      </c>
      <c r="D188" s="204" t="s">
        <v>189</v>
      </c>
      <c r="E188" s="203" t="s">
        <v>190</v>
      </c>
      <c r="F188" s="203" t="s">
        <v>191</v>
      </c>
      <c r="G188" s="203" t="s">
        <v>192</v>
      </c>
      <c r="H188" s="203" t="s">
        <v>190</v>
      </c>
      <c r="I188" s="203" t="s">
        <v>191</v>
      </c>
      <c r="J188" s="203" t="s">
        <v>192</v>
      </c>
      <c r="K188" s="203" t="s">
        <v>190</v>
      </c>
      <c r="L188" s="203" t="s">
        <v>191</v>
      </c>
      <c r="M188" s="203" t="s">
        <v>192</v>
      </c>
      <c r="N188" s="203" t="s">
        <v>190</v>
      </c>
      <c r="O188" s="203" t="s">
        <v>193</v>
      </c>
      <c r="P188" s="203" t="s">
        <v>192</v>
      </c>
      <c r="Q188" s="203" t="s">
        <v>190</v>
      </c>
      <c r="R188" s="203" t="s">
        <v>194</v>
      </c>
      <c r="S188" s="203" t="s">
        <v>195</v>
      </c>
      <c r="T188" s="203" t="s">
        <v>156</v>
      </c>
      <c r="U188" s="75" t="s">
        <v>157</v>
      </c>
    </row>
    <row r="189" customFormat="false" ht="13.2" hidden="false" customHeight="false" outlineLevel="0" collapsed="false">
      <c r="A189" s="47" t="n">
        <v>1</v>
      </c>
      <c r="B189" s="205" t="n">
        <v>36701</v>
      </c>
      <c r="C189" s="204" t="n">
        <v>3</v>
      </c>
      <c r="D189" s="204" t="n">
        <v>2</v>
      </c>
      <c r="E189" s="249"/>
      <c r="F189" s="106"/>
      <c r="G189" s="250"/>
      <c r="H189" s="251"/>
      <c r="I189" s="106"/>
      <c r="J189" s="252"/>
      <c r="K189" s="249"/>
      <c r="L189" s="260"/>
      <c r="M189" s="250"/>
      <c r="N189" s="253"/>
      <c r="O189" s="254" t="n">
        <v>13</v>
      </c>
      <c r="P189" s="255"/>
      <c r="Q189" s="256"/>
      <c r="R189" s="254" t="n">
        <v>112</v>
      </c>
      <c r="S189" s="255"/>
      <c r="T189" s="92" t="n">
        <f aca="false">SUM(E189:S189)</f>
        <v>125</v>
      </c>
      <c r="U189" s="80" t="n">
        <f aca="false">+(E189*85)+(F189*95)+(G189*125)+(H189*100)+(I189*150)+(J189*200)+(K189*52)+(L189*65.5)+(M189*81)+(N189*48)+(O189*63)+(P189*77.5)+(Q189*46)+(R189*59)+(S189*72.5)</f>
        <v>7427</v>
      </c>
    </row>
    <row r="190" customFormat="false" ht="13.2" hidden="false" customHeight="false" outlineLevel="0" collapsed="false">
      <c r="A190" s="47" t="n">
        <v>2</v>
      </c>
      <c r="B190" s="205" t="n">
        <v>36702</v>
      </c>
      <c r="C190" s="204" t="n">
        <v>3</v>
      </c>
      <c r="D190" s="204" t="n">
        <v>2</v>
      </c>
      <c r="E190" s="224"/>
      <c r="F190" s="114"/>
      <c r="G190" s="225"/>
      <c r="H190" s="226"/>
      <c r="I190" s="121"/>
      <c r="J190" s="232"/>
      <c r="K190" s="226"/>
      <c r="L190" s="121"/>
      <c r="M190" s="232"/>
      <c r="N190" s="227"/>
      <c r="O190" s="228"/>
      <c r="P190" s="229"/>
      <c r="Q190" s="227"/>
      <c r="R190" s="228"/>
      <c r="S190" s="231" t="n">
        <v>36</v>
      </c>
      <c r="T190" s="92" t="n">
        <f aca="false">SUM(E190:S190)</f>
        <v>36</v>
      </c>
      <c r="U190" s="80" t="n">
        <f aca="false">+(E190*85)+(F190*95)+(G190*125)+(H190*100)+(I190*150)+(J190*200)+(K190*52)+(L190*65.5)+(M190*81)+(N190*48)+(O190*63)+(P190*77.5)+(Q190*46)+(R190*59)+(S190*72.5)</f>
        <v>2610</v>
      </c>
    </row>
    <row r="191" customFormat="false" ht="13.2" hidden="false" customHeight="false" outlineLevel="0" collapsed="false">
      <c r="A191" s="47" t="n">
        <v>3</v>
      </c>
      <c r="B191" s="205" t="n">
        <v>36703</v>
      </c>
      <c r="C191" s="204" t="n">
        <v>3</v>
      </c>
      <c r="D191" s="204" t="n">
        <v>6</v>
      </c>
      <c r="E191" s="224"/>
      <c r="F191" s="114"/>
      <c r="G191" s="225"/>
      <c r="H191" s="226"/>
      <c r="I191" s="121"/>
      <c r="J191" s="232"/>
      <c r="K191" s="226"/>
      <c r="L191" s="121"/>
      <c r="M191" s="232"/>
      <c r="N191" s="227" t="n">
        <v>16</v>
      </c>
      <c r="O191" s="230" t="n">
        <v>8</v>
      </c>
      <c r="P191" s="229"/>
      <c r="Q191" s="227" t="n">
        <v>70</v>
      </c>
      <c r="R191" s="230" t="n">
        <v>16</v>
      </c>
      <c r="S191" s="231"/>
      <c r="T191" s="92" t="n">
        <f aca="false">SUM(E191:S191)</f>
        <v>110</v>
      </c>
      <c r="U191" s="80" t="n">
        <f aca="false">+(E191*85)+(F191*95)+(G191*125)+(H191*100)+(I191*150)+(J191*200)+(K191*52)+(L191*65.5)+(M191*81)+(N191*48)+(O191*63)+(P191*77.5)+(Q191*46)+(R191*59)+(S191*72.5)</f>
        <v>5436</v>
      </c>
    </row>
    <row r="192" customFormat="false" ht="13.2" hidden="false" customHeight="false" outlineLevel="0" collapsed="false">
      <c r="A192" s="47" t="n">
        <v>4</v>
      </c>
      <c r="B192" s="205" t="n">
        <v>36712</v>
      </c>
      <c r="C192" s="204" t="n">
        <v>3</v>
      </c>
      <c r="D192" s="204" t="n">
        <v>8</v>
      </c>
      <c r="E192" s="224"/>
      <c r="F192" s="114"/>
      <c r="G192" s="225"/>
      <c r="H192" s="226"/>
      <c r="I192" s="121"/>
      <c r="J192" s="232"/>
      <c r="K192" s="226"/>
      <c r="L192" s="121"/>
      <c r="M192" s="232"/>
      <c r="N192" s="227"/>
      <c r="O192" s="230"/>
      <c r="P192" s="229"/>
      <c r="Q192" s="227" t="n">
        <v>24</v>
      </c>
      <c r="R192" s="230" t="n">
        <v>12</v>
      </c>
      <c r="S192" s="231"/>
      <c r="T192" s="92" t="n">
        <f aca="false">SUM(E192:S192)</f>
        <v>36</v>
      </c>
      <c r="U192" s="80" t="n">
        <f aca="false">+(E192*85)+(F192*95)+(G192*125)+(H192*100)+(I192*150)+(J192*200)+(K192*52)+(L192*65.5)+(M192*81)+(N192*48)+(O192*63)+(P192*77.5)+(Q192*46)+(R192*59)+(S192*72.5)</f>
        <v>1812</v>
      </c>
    </row>
    <row r="193" customFormat="false" ht="13.2" hidden="false" customHeight="false" outlineLevel="0" collapsed="false">
      <c r="A193" s="47" t="n">
        <v>5</v>
      </c>
      <c r="B193" s="205" t="n">
        <v>36713</v>
      </c>
      <c r="C193" s="204" t="n">
        <v>3</v>
      </c>
      <c r="D193" s="204" t="n">
        <v>8</v>
      </c>
      <c r="E193" s="224"/>
      <c r="F193" s="114"/>
      <c r="G193" s="225"/>
      <c r="H193" s="226"/>
      <c r="I193" s="114"/>
      <c r="J193" s="225"/>
      <c r="K193" s="226"/>
      <c r="L193" s="121"/>
      <c r="M193" s="225"/>
      <c r="N193" s="227"/>
      <c r="O193" s="230"/>
      <c r="P193" s="231"/>
      <c r="Q193" s="239" t="n">
        <v>24</v>
      </c>
      <c r="R193" s="230" t="n">
        <v>12</v>
      </c>
      <c r="S193" s="231"/>
      <c r="T193" s="92" t="n">
        <f aca="false">SUM(E193:S193)</f>
        <v>36</v>
      </c>
      <c r="U193" s="80" t="n">
        <f aca="false">+(E193*85)+(F193*95)+(G193*125)+(H193*100)+(I193*150)+(J193*200)+(K193*52)+(L193*65.5)+(M193*81)+(N193*48)+(O193*63)+(P193*77.5)+(Q193*46)+(R193*59)+(S193*72.5)</f>
        <v>1812</v>
      </c>
    </row>
    <row r="194" customFormat="false" ht="13.2" hidden="false" customHeight="false" outlineLevel="0" collapsed="false">
      <c r="A194" s="47" t="n">
        <v>6</v>
      </c>
      <c r="B194" s="205" t="n">
        <v>36714</v>
      </c>
      <c r="C194" s="204" t="n">
        <v>3</v>
      </c>
      <c r="D194" s="204" t="n">
        <v>8</v>
      </c>
      <c r="E194" s="224"/>
      <c r="F194" s="114"/>
      <c r="G194" s="225"/>
      <c r="H194" s="226"/>
      <c r="I194" s="121"/>
      <c r="J194" s="232"/>
      <c r="K194" s="226"/>
      <c r="L194" s="121"/>
      <c r="M194" s="225"/>
      <c r="N194" s="227"/>
      <c r="O194" s="230"/>
      <c r="P194" s="231"/>
      <c r="Q194" s="239" t="n">
        <v>16</v>
      </c>
      <c r="R194" s="230" t="n">
        <v>8</v>
      </c>
      <c r="S194" s="231"/>
      <c r="T194" s="92" t="n">
        <f aca="false">SUM(E194:S194)</f>
        <v>24</v>
      </c>
      <c r="U194" s="80" t="n">
        <f aca="false">+(E194*85)+(F194*95)+(G194*125)+(H194*100)+(I194*150)+(J194*200)+(K194*52)+(L194*65.5)+(M194*81)+(N194*48)+(O194*63)+(P194*77.5)+(Q194*46)+(R194*59)+(S194*72.5)</f>
        <v>1208</v>
      </c>
    </row>
    <row r="195" customFormat="false" ht="13.2" hidden="false" customHeight="false" outlineLevel="0" collapsed="false">
      <c r="A195" s="47" t="n">
        <v>7</v>
      </c>
      <c r="B195" s="205" t="n">
        <v>36719</v>
      </c>
      <c r="C195" s="204" t="n">
        <v>3</v>
      </c>
      <c r="D195" s="74" t="n">
        <v>10</v>
      </c>
      <c r="E195" s="224"/>
      <c r="F195" s="114"/>
      <c r="G195" s="225"/>
      <c r="H195" s="226"/>
      <c r="I195" s="114"/>
      <c r="J195" s="225"/>
      <c r="K195" s="226"/>
      <c r="L195" s="121"/>
      <c r="M195" s="225"/>
      <c r="N195" s="227"/>
      <c r="O195" s="230"/>
      <c r="P195" s="231"/>
      <c r="Q195" s="239" t="n">
        <v>40</v>
      </c>
      <c r="R195" s="230" t="n">
        <v>20</v>
      </c>
      <c r="S195" s="231"/>
      <c r="T195" s="92" t="n">
        <f aca="false">SUM(E195:S195)</f>
        <v>60</v>
      </c>
      <c r="U195" s="80" t="n">
        <f aca="false">+(E195*85)+(F195*95)+(G195*125)+(H195*100)+(I195*150)+(J195*200)+(K195*52)+(L195*65.5)+(M195*81)+(N195*48)+(O195*63)+(P195*77.5)+(Q195*46)+(R195*59)+(S195*72.5)</f>
        <v>3020</v>
      </c>
    </row>
    <row r="196" customFormat="false" ht="13.2" hidden="false" customHeight="false" outlineLevel="0" collapsed="false">
      <c r="A196" s="47" t="n">
        <v>8</v>
      </c>
      <c r="B196" s="205" t="n">
        <v>36720</v>
      </c>
      <c r="C196" s="204" t="n">
        <v>3</v>
      </c>
      <c r="D196" s="74" t="n">
        <v>10</v>
      </c>
      <c r="E196" s="224"/>
      <c r="F196" s="114"/>
      <c r="G196" s="225"/>
      <c r="H196" s="226"/>
      <c r="I196" s="114"/>
      <c r="J196" s="225"/>
      <c r="K196" s="226"/>
      <c r="L196" s="121"/>
      <c r="M196" s="225"/>
      <c r="N196" s="227"/>
      <c r="O196" s="230"/>
      <c r="P196" s="231"/>
      <c r="Q196" s="239" t="n">
        <v>32</v>
      </c>
      <c r="R196" s="230" t="n">
        <v>16</v>
      </c>
      <c r="S196" s="231"/>
      <c r="T196" s="92" t="n">
        <f aca="false">SUM(E196:S196)</f>
        <v>48</v>
      </c>
      <c r="U196" s="80" t="n">
        <f aca="false">+(E196*85)+(F196*95)+(G196*125)+(H196*100)+(I196*150)+(J196*200)+(K196*52)+(L196*65.5)+(M196*81)+(N196*48)+(O196*63)+(P196*77.5)+(Q196*46)+(R196*59)+(S196*72.5)</f>
        <v>2416</v>
      </c>
    </row>
    <row r="197" customFormat="false" ht="13.2" hidden="false" customHeight="false" outlineLevel="0" collapsed="false">
      <c r="E197" s="240"/>
      <c r="F197" s="241"/>
      <c r="G197" s="242"/>
      <c r="H197" s="240"/>
      <c r="I197" s="241"/>
      <c r="J197" s="242"/>
      <c r="K197" s="243"/>
      <c r="L197" s="244"/>
      <c r="M197" s="245"/>
      <c r="N197" s="243"/>
      <c r="O197" s="244"/>
      <c r="P197" s="245"/>
      <c r="Q197" s="243"/>
      <c r="R197" s="244"/>
      <c r="S197" s="245"/>
      <c r="T197" s="92"/>
      <c r="U197" s="80"/>
    </row>
    <row r="198" customFormat="false" ht="13.2" hidden="false" customHeight="false" outlineLevel="0" collapsed="false">
      <c r="B198" s="73" t="s">
        <v>156</v>
      </c>
      <c r="C198" s="82"/>
      <c r="D198" s="82"/>
      <c r="E198" s="203" t="n">
        <f aca="false">SUM(E189:E197)</f>
        <v>0</v>
      </c>
      <c r="F198" s="203" t="n">
        <f aca="false">SUM(F189:F197)</f>
        <v>0</v>
      </c>
      <c r="G198" s="203" t="n">
        <f aca="false">SUM(G189:G197)</f>
        <v>0</v>
      </c>
      <c r="H198" s="203" t="n">
        <f aca="false">SUM(H189:H197)</f>
        <v>0</v>
      </c>
      <c r="I198" s="203" t="n">
        <f aca="false">SUM(I189:I197)</f>
        <v>0</v>
      </c>
      <c r="J198" s="203" t="n">
        <f aca="false">SUM(J189:J197)</f>
        <v>0</v>
      </c>
      <c r="K198" s="203" t="n">
        <f aca="false">SUM(K189:K197)</f>
        <v>0</v>
      </c>
      <c r="L198" s="203" t="n">
        <f aca="false">SUM(L189:L197)</f>
        <v>0</v>
      </c>
      <c r="M198" s="203" t="n">
        <f aca="false">SUM(M189:M197)</f>
        <v>0</v>
      </c>
      <c r="N198" s="203" t="n">
        <f aca="false">SUM(N189:N197)</f>
        <v>16</v>
      </c>
      <c r="O198" s="203" t="n">
        <f aca="false">SUM(O189:O197)</f>
        <v>21</v>
      </c>
      <c r="P198" s="203" t="n">
        <f aca="false">SUM(P189:P197)</f>
        <v>0</v>
      </c>
      <c r="Q198" s="203" t="n">
        <f aca="false">SUM(Q189:Q197)</f>
        <v>206</v>
      </c>
      <c r="R198" s="203" t="n">
        <f aca="false">SUM(R189:R197)</f>
        <v>196</v>
      </c>
      <c r="S198" s="203" t="n">
        <f aca="false">SUM(S189:S197)</f>
        <v>36</v>
      </c>
      <c r="T198" s="203" t="n">
        <f aca="false">SUM(T189:T197)</f>
        <v>475</v>
      </c>
      <c r="U198" s="75" t="n">
        <f aca="false">SUM(U189:U197)</f>
        <v>25741</v>
      </c>
    </row>
    <row r="199" customFormat="false" ht="13.2" hidden="false" customHeight="false" outlineLevel="0" collapsed="false">
      <c r="B199" s="73" t="s">
        <v>199</v>
      </c>
      <c r="C199" s="246"/>
      <c r="D199" s="246"/>
      <c r="E199" s="75" t="n">
        <v>85</v>
      </c>
      <c r="F199" s="75" t="n">
        <v>95</v>
      </c>
      <c r="G199" s="80" t="n">
        <v>125</v>
      </c>
      <c r="H199" s="75" t="n">
        <v>100</v>
      </c>
      <c r="I199" s="75" t="n">
        <v>150</v>
      </c>
      <c r="J199" s="80" t="n">
        <v>200</v>
      </c>
      <c r="K199" s="80" t="n">
        <v>52</v>
      </c>
      <c r="L199" s="80" t="n">
        <v>65.5</v>
      </c>
      <c r="M199" s="80" t="n">
        <v>81</v>
      </c>
      <c r="N199" s="80" t="n">
        <v>48</v>
      </c>
      <c r="O199" s="80" t="n">
        <v>63</v>
      </c>
      <c r="P199" s="80" t="n">
        <v>77.5</v>
      </c>
      <c r="Q199" s="80" t="n">
        <v>46</v>
      </c>
      <c r="R199" s="80" t="n">
        <v>59</v>
      </c>
      <c r="S199" s="80" t="n">
        <v>72.5</v>
      </c>
      <c r="T199" s="80"/>
      <c r="U199" s="80"/>
    </row>
    <row r="200" customFormat="false" ht="13.2" hidden="false" customHeight="false" outlineLevel="0" collapsed="false">
      <c r="B200" s="73" t="s">
        <v>200</v>
      </c>
      <c r="E200" s="247" t="n">
        <f aca="false">SUM(E189:E197)*E199</f>
        <v>0</v>
      </c>
      <c r="F200" s="247" t="n">
        <f aca="false">SUM(F189:F197)*F199</f>
        <v>0</v>
      </c>
      <c r="G200" s="247" t="n">
        <f aca="false">SUM(G189:G197)*G199</f>
        <v>0</v>
      </c>
      <c r="H200" s="247" t="n">
        <f aca="false">SUM(H189:H197)*H199</f>
        <v>0</v>
      </c>
      <c r="I200" s="247" t="n">
        <f aca="false">SUM(I189:I197)*I199</f>
        <v>0</v>
      </c>
      <c r="J200" s="247" t="n">
        <f aca="false">SUM(J189:J197)*J199</f>
        <v>0</v>
      </c>
      <c r="K200" s="247" t="n">
        <f aca="false">SUM(K189:K197)*K199</f>
        <v>0</v>
      </c>
      <c r="L200" s="247" t="n">
        <f aca="false">SUM(L189:L197)*L199</f>
        <v>0</v>
      </c>
      <c r="M200" s="247" t="n">
        <f aca="false">SUM(M189:M197)*M199</f>
        <v>0</v>
      </c>
      <c r="N200" s="247" t="n">
        <f aca="false">SUM(N189:N197)*N199</f>
        <v>768</v>
      </c>
      <c r="O200" s="247" t="n">
        <f aca="false">SUM(O189:O197)*O199</f>
        <v>1323</v>
      </c>
      <c r="P200" s="247" t="n">
        <f aca="false">SUM(P189:P197)*P199</f>
        <v>0</v>
      </c>
      <c r="Q200" s="92"/>
      <c r="R200" s="80" t="n">
        <f aca="false">SUM(E200:Q200)</f>
        <v>2091</v>
      </c>
    </row>
    <row r="203" customFormat="false" ht="13.2" hidden="false" customHeight="false" outlineLevel="0" collapsed="false">
      <c r="B203" s="201" t="s">
        <v>166</v>
      </c>
      <c r="C203" s="74"/>
      <c r="D203" s="61" t="s">
        <v>148</v>
      </c>
      <c r="E203" s="92"/>
      <c r="F203" s="91" t="s">
        <v>183</v>
      </c>
      <c r="G203" s="92"/>
      <c r="H203" s="91"/>
      <c r="I203" s="91" t="s">
        <v>184</v>
      </c>
      <c r="J203" s="92"/>
      <c r="K203" s="92"/>
      <c r="L203" s="91" t="s">
        <v>185</v>
      </c>
      <c r="M203" s="92"/>
      <c r="N203" s="92"/>
      <c r="O203" s="91" t="s">
        <v>186</v>
      </c>
      <c r="P203" s="92"/>
      <c r="Q203" s="203" t="s">
        <v>143</v>
      </c>
      <c r="R203" s="75" t="s">
        <v>143</v>
      </c>
    </row>
    <row r="204" customFormat="false" ht="13.2" hidden="false" customHeight="false" outlineLevel="0" collapsed="false">
      <c r="B204" s="73" t="s">
        <v>187</v>
      </c>
      <c r="C204" s="204" t="s">
        <v>188</v>
      </c>
      <c r="D204" s="204" t="s">
        <v>189</v>
      </c>
      <c r="E204" s="203" t="s">
        <v>190</v>
      </c>
      <c r="F204" s="203" t="s">
        <v>191</v>
      </c>
      <c r="G204" s="203" t="s">
        <v>192</v>
      </c>
      <c r="H204" s="203" t="s">
        <v>190</v>
      </c>
      <c r="I204" s="203" t="s">
        <v>191</v>
      </c>
      <c r="J204" s="203" t="s">
        <v>192</v>
      </c>
      <c r="K204" s="203" t="s">
        <v>190</v>
      </c>
      <c r="L204" s="203" t="s">
        <v>193</v>
      </c>
      <c r="M204" s="203" t="s">
        <v>192</v>
      </c>
      <c r="N204" s="203" t="s">
        <v>190</v>
      </c>
      <c r="O204" s="203" t="s">
        <v>194</v>
      </c>
      <c r="P204" s="203" t="s">
        <v>195</v>
      </c>
      <c r="Q204" s="203" t="s">
        <v>156</v>
      </c>
      <c r="R204" s="75" t="s">
        <v>157</v>
      </c>
    </row>
    <row r="205" customFormat="false" ht="13.2" hidden="false" customHeight="false" outlineLevel="0" collapsed="false">
      <c r="A205" s="47" t="n">
        <v>1</v>
      </c>
      <c r="B205" s="205" t="n">
        <v>36701</v>
      </c>
      <c r="C205" s="204" t="n">
        <v>3</v>
      </c>
      <c r="D205" s="204" t="n">
        <v>15</v>
      </c>
      <c r="E205" s="249"/>
      <c r="F205" s="106"/>
      <c r="G205" s="250"/>
      <c r="H205" s="251"/>
      <c r="I205" s="106"/>
      <c r="J205" s="252"/>
      <c r="K205" s="249"/>
      <c r="L205" s="260" t="n">
        <v>13</v>
      </c>
      <c r="M205" s="250"/>
      <c r="N205" s="256"/>
      <c r="O205" s="254" t="n">
        <v>36</v>
      </c>
      <c r="P205" s="255"/>
      <c r="Q205" s="92" t="n">
        <f aca="false">SUM(E205:P205)</f>
        <v>49</v>
      </c>
      <c r="R205" s="80" t="n">
        <f aca="false">+(E205*100)+(F205*150)+(G205*200)+(H205*52)+(I205*65.5)+(J205*81)+(K205*48)+(L205*63)+(M205*77.5)+(N205*46)+(O205*59)+(P205*72.5)</f>
        <v>2943</v>
      </c>
    </row>
    <row r="206" customFormat="false" ht="13.2" hidden="false" customHeight="false" outlineLevel="0" collapsed="false">
      <c r="A206" s="47" t="n">
        <v>2</v>
      </c>
      <c r="B206" s="205" t="n">
        <v>36711</v>
      </c>
      <c r="C206" s="204" t="n">
        <v>3</v>
      </c>
      <c r="D206" s="204" t="n">
        <v>19</v>
      </c>
      <c r="E206" s="224"/>
      <c r="F206" s="114"/>
      <c r="G206" s="225"/>
      <c r="H206" s="226"/>
      <c r="I206" s="121"/>
      <c r="J206" s="232"/>
      <c r="K206" s="226"/>
      <c r="L206" s="114"/>
      <c r="M206" s="225"/>
      <c r="N206" s="239"/>
      <c r="O206" s="230"/>
      <c r="P206" s="231" t="n">
        <v>36</v>
      </c>
      <c r="Q206" s="92" t="n">
        <f aca="false">SUM(E206:P206)</f>
        <v>36</v>
      </c>
      <c r="R206" s="80" t="n">
        <f aca="false">+(E206*100)+(F206*150)+(G206*200)+(H206*52)+(I206*65.5)+(J206*81)+(K206*48)+(L206*63)+(M206*77.5)+(N206*46)+(O206*59)+(P206*72.5)</f>
        <v>2610</v>
      </c>
    </row>
    <row r="207" customFormat="false" ht="13.2" hidden="false" customHeight="false" outlineLevel="0" collapsed="false">
      <c r="A207" s="47" t="n">
        <v>3</v>
      </c>
      <c r="B207" s="205" t="n">
        <v>36712</v>
      </c>
      <c r="C207" s="204" t="n">
        <v>3</v>
      </c>
      <c r="D207" s="204" t="n">
        <v>19</v>
      </c>
      <c r="E207" s="224"/>
      <c r="F207" s="114"/>
      <c r="G207" s="225"/>
      <c r="H207" s="226"/>
      <c r="I207" s="121"/>
      <c r="J207" s="232"/>
      <c r="K207" s="226"/>
      <c r="L207" s="114"/>
      <c r="M207" s="232"/>
      <c r="N207" s="227" t="n">
        <v>24</v>
      </c>
      <c r="O207" s="230" t="n">
        <v>12</v>
      </c>
      <c r="P207" s="231"/>
      <c r="Q207" s="92" t="n">
        <f aca="false">SUM(E207:P207)</f>
        <v>36</v>
      </c>
      <c r="R207" s="80" t="n">
        <f aca="false">+(E207*100)+(F207*150)+(G207*200)+(H207*52)+(I207*65.5)+(J207*81)+(K207*48)+(L207*63)+(M207*77.5)+(N207*46)+(O207*59)+(P207*72.5)</f>
        <v>1812</v>
      </c>
    </row>
    <row r="208" customFormat="false" ht="13.2" hidden="false" customHeight="false" outlineLevel="0" collapsed="false">
      <c r="A208" s="47" t="n">
        <v>4</v>
      </c>
      <c r="B208" s="205" t="n">
        <v>36713</v>
      </c>
      <c r="C208" s="204" t="n">
        <v>3</v>
      </c>
      <c r="D208" s="204" t="n">
        <v>19</v>
      </c>
      <c r="E208" s="224"/>
      <c r="F208" s="114"/>
      <c r="G208" s="225"/>
      <c r="H208" s="226"/>
      <c r="I208" s="114"/>
      <c r="J208" s="225"/>
      <c r="K208" s="224"/>
      <c r="L208" s="114"/>
      <c r="M208" s="225"/>
      <c r="N208" s="239" t="n">
        <v>24</v>
      </c>
      <c r="O208" s="230" t="n">
        <v>12</v>
      </c>
      <c r="P208" s="231"/>
      <c r="Q208" s="92" t="n">
        <f aca="false">SUM(E208:P208)</f>
        <v>36</v>
      </c>
      <c r="R208" s="80" t="n">
        <f aca="false">+(E208*100)+(F208*150)+(G208*200)+(H208*52)+(I208*65.5)+(J208*81)+(K208*48)+(L208*63)+(M208*77.5)+(N208*46)+(O208*59)+(P208*72.5)</f>
        <v>1812</v>
      </c>
    </row>
    <row r="209" customFormat="false" ht="13.2" hidden="false" customHeight="false" outlineLevel="0" collapsed="false">
      <c r="A209" s="47" t="n">
        <v>5</v>
      </c>
      <c r="B209" s="205" t="n">
        <v>36718</v>
      </c>
      <c r="C209" s="204" t="n">
        <v>3</v>
      </c>
      <c r="D209" s="74" t="n">
        <v>21</v>
      </c>
      <c r="E209" s="226"/>
      <c r="F209" s="114"/>
      <c r="G209" s="225"/>
      <c r="H209" s="226"/>
      <c r="I209" s="114"/>
      <c r="J209" s="232"/>
      <c r="K209" s="224"/>
      <c r="L209" s="114"/>
      <c r="M209" s="225"/>
      <c r="N209" s="239" t="n">
        <v>32</v>
      </c>
      <c r="O209" s="230" t="n">
        <v>16</v>
      </c>
      <c r="P209" s="231"/>
      <c r="Q209" s="92" t="n">
        <f aca="false">SUM(E209:P209)</f>
        <v>48</v>
      </c>
      <c r="R209" s="80" t="n">
        <f aca="false">+(E209*100)+(F209*150)+(G209*200)+(H209*52)+(I209*65.5)+(J209*81)+(K209*48)+(L209*63)+(M209*77.5)+(N209*46)+(O209*59)+(P209*72.5)</f>
        <v>2416</v>
      </c>
    </row>
    <row r="210" customFormat="false" ht="13.2" hidden="false" customHeight="false" outlineLevel="0" collapsed="false">
      <c r="A210" s="47" t="n">
        <v>6</v>
      </c>
      <c r="B210" s="205" t="n">
        <v>36719</v>
      </c>
      <c r="C210" s="204" t="n">
        <v>3</v>
      </c>
      <c r="D210" s="74" t="n">
        <v>21</v>
      </c>
      <c r="E210" s="226"/>
      <c r="F210" s="114"/>
      <c r="G210" s="225"/>
      <c r="H210" s="226"/>
      <c r="I210" s="114"/>
      <c r="J210" s="225"/>
      <c r="K210" s="224"/>
      <c r="L210" s="114"/>
      <c r="M210" s="225"/>
      <c r="N210" s="239" t="n">
        <v>24</v>
      </c>
      <c r="O210" s="230" t="n">
        <v>12</v>
      </c>
      <c r="P210" s="231"/>
      <c r="Q210" s="92" t="n">
        <f aca="false">SUM(E210:P210)</f>
        <v>36</v>
      </c>
      <c r="R210" s="80" t="n">
        <f aca="false">+(E210*100)+(F210*150)+(G210*200)+(H210*52)+(I210*65.5)+(J210*81)+(K210*48)+(L210*63)+(M210*77.5)+(N210*46)+(O210*59)+(P210*72.5)</f>
        <v>1812</v>
      </c>
    </row>
    <row r="211" customFormat="false" ht="13.2" hidden="false" customHeight="false" outlineLevel="0" collapsed="false">
      <c r="E211" s="240"/>
      <c r="F211" s="241"/>
      <c r="G211" s="242"/>
      <c r="H211" s="243"/>
      <c r="I211" s="244"/>
      <c r="J211" s="245"/>
      <c r="K211" s="243"/>
      <c r="L211" s="244"/>
      <c r="M211" s="245"/>
      <c r="N211" s="243"/>
      <c r="O211" s="244"/>
      <c r="P211" s="245"/>
      <c r="Q211" s="92"/>
      <c r="R211" s="80"/>
    </row>
    <row r="212" customFormat="false" ht="13.2" hidden="false" customHeight="false" outlineLevel="0" collapsed="false">
      <c r="B212" s="73" t="s">
        <v>156</v>
      </c>
      <c r="C212" s="82"/>
      <c r="D212" s="82"/>
      <c r="E212" s="203" t="n">
        <f aca="false">SUM(E205:E211)</f>
        <v>0</v>
      </c>
      <c r="F212" s="203" t="n">
        <f aca="false">SUM(F205:F211)</f>
        <v>0</v>
      </c>
      <c r="G212" s="203" t="n">
        <f aca="false">SUM(G205:G211)</f>
        <v>0</v>
      </c>
      <c r="H212" s="203" t="n">
        <f aca="false">SUM(H205:H211)</f>
        <v>0</v>
      </c>
      <c r="I212" s="203" t="n">
        <f aca="false">SUM(I205:I211)</f>
        <v>0</v>
      </c>
      <c r="J212" s="203" t="n">
        <f aca="false">SUM(J205:J211)</f>
        <v>0</v>
      </c>
      <c r="K212" s="203" t="n">
        <f aca="false">SUM(K205:K211)</f>
        <v>0</v>
      </c>
      <c r="L212" s="203" t="n">
        <f aca="false">SUM(L205:L211)</f>
        <v>13</v>
      </c>
      <c r="M212" s="203" t="n">
        <f aca="false">SUM(M205:M211)</f>
        <v>0</v>
      </c>
      <c r="N212" s="203" t="n">
        <f aca="false">SUM(N205:N211)</f>
        <v>104</v>
      </c>
      <c r="O212" s="203" t="n">
        <f aca="false">SUM(O205:O211)</f>
        <v>88</v>
      </c>
      <c r="P212" s="203" t="n">
        <f aca="false">SUM(P205:P211)</f>
        <v>36</v>
      </c>
      <c r="Q212" s="203" t="n">
        <f aca="false">SUM(Q205:Q211)</f>
        <v>241</v>
      </c>
      <c r="R212" s="75" t="n">
        <f aca="false">SUM(R205:R211)</f>
        <v>13405</v>
      </c>
    </row>
    <row r="213" customFormat="false" ht="13.2" hidden="false" customHeight="false" outlineLevel="0" collapsed="false">
      <c r="A213" s="47" t="n">
        <f aca="false">+A210+A196+A179+A150+A98</f>
        <v>95</v>
      </c>
      <c r="B213" s="73" t="s">
        <v>199</v>
      </c>
      <c r="C213" s="246"/>
      <c r="D213" s="246"/>
      <c r="E213" s="75" t="n">
        <v>100</v>
      </c>
      <c r="F213" s="75" t="n">
        <v>150</v>
      </c>
      <c r="G213" s="80" t="n">
        <v>200</v>
      </c>
      <c r="H213" s="80" t="n">
        <v>52</v>
      </c>
      <c r="I213" s="80" t="n">
        <v>65.5</v>
      </c>
      <c r="J213" s="80" t="n">
        <v>81</v>
      </c>
      <c r="K213" s="80" t="n">
        <v>48</v>
      </c>
      <c r="L213" s="80" t="n">
        <v>63</v>
      </c>
      <c r="M213" s="80" t="n">
        <v>77.5</v>
      </c>
      <c r="N213" s="80" t="n">
        <v>46</v>
      </c>
      <c r="O213" s="80" t="n">
        <v>59</v>
      </c>
      <c r="P213" s="80" t="n">
        <v>72.5</v>
      </c>
      <c r="Q213" s="80"/>
      <c r="R213" s="80"/>
    </row>
    <row r="214" customFormat="false" ht="13.2" hidden="false" customHeight="false" outlineLevel="0" collapsed="false">
      <c r="B214" s="73" t="s">
        <v>200</v>
      </c>
      <c r="E214" s="247" t="n">
        <f aca="false">SUM(E205:E211)*E213</f>
        <v>0</v>
      </c>
      <c r="F214" s="247" t="n">
        <f aca="false">SUM(F205:F211)*F213</f>
        <v>0</v>
      </c>
      <c r="G214" s="247" t="n">
        <f aca="false">SUM(G205:G211)*G213</f>
        <v>0</v>
      </c>
      <c r="H214" s="247" t="n">
        <f aca="false">SUM(H205:H211)*H213</f>
        <v>0</v>
      </c>
      <c r="I214" s="247" t="n">
        <f aca="false">SUM(I205:I211)*I213</f>
        <v>0</v>
      </c>
      <c r="J214" s="247" t="n">
        <f aca="false">SUM(J205:J211)*J213</f>
        <v>0</v>
      </c>
      <c r="K214" s="247" t="n">
        <f aca="false">SUM(K205:K211)*K213</f>
        <v>0</v>
      </c>
      <c r="L214" s="247" t="n">
        <f aca="false">SUM(L205:L211)*L213</f>
        <v>819</v>
      </c>
      <c r="M214" s="247" t="n">
        <f aca="false">SUM(M205:M211)*M213</f>
        <v>0</v>
      </c>
      <c r="N214" s="247" t="n">
        <f aca="false">SUM(N205:N211)*N213</f>
        <v>4784</v>
      </c>
      <c r="O214" s="247" t="n">
        <f aca="false">SUM(O205:O211)*O213</f>
        <v>5192</v>
      </c>
      <c r="P214" s="247" t="n">
        <f aca="false">SUM(P205:P211)*P213</f>
        <v>2610</v>
      </c>
      <c r="Q214" s="92"/>
      <c r="R214" s="80" t="n">
        <f aca="false">SUM(E214:Q214)</f>
        <v>13405</v>
      </c>
    </row>
    <row r="215" customFormat="false" ht="13.2" hidden="false" customHeight="false" outlineLevel="0" collapsed="false">
      <c r="B215" s="73"/>
      <c r="E215" s="247"/>
      <c r="F215" s="247"/>
      <c r="G215" s="247"/>
      <c r="H215" s="247"/>
      <c r="I215" s="247"/>
      <c r="J215" s="247"/>
      <c r="K215" s="247"/>
      <c r="L215" s="247"/>
      <c r="M215" s="247"/>
      <c r="N215" s="247"/>
      <c r="O215" s="247"/>
      <c r="P215" s="247"/>
      <c r="Q215" s="92"/>
      <c r="R215" s="80"/>
    </row>
    <row r="216" customFormat="false" ht="13.2" hidden="false" customHeight="false" outlineLevel="0" collapsed="false">
      <c r="A216" s="261" t="s">
        <v>207</v>
      </c>
      <c r="B216" s="73"/>
      <c r="E216" s="247"/>
      <c r="F216" s="247"/>
      <c r="G216" s="247"/>
      <c r="H216" s="247"/>
      <c r="I216" s="247"/>
      <c r="J216" s="247"/>
      <c r="K216" s="247"/>
      <c r="L216" s="247"/>
      <c r="M216" s="247"/>
      <c r="N216" s="247"/>
      <c r="O216" s="247"/>
      <c r="P216" s="247"/>
      <c r="Q216" s="92"/>
      <c r="R216" s="80"/>
    </row>
    <row r="217" customFormat="false" ht="13.2" hidden="false" customHeight="false" outlineLevel="0" collapsed="false">
      <c r="B217" s="73"/>
      <c r="E217" s="92" t="s">
        <v>208</v>
      </c>
      <c r="F217" s="202"/>
      <c r="G217" s="92"/>
      <c r="H217" s="92"/>
      <c r="I217" s="202" t="s">
        <v>183</v>
      </c>
      <c r="J217" s="92"/>
      <c r="K217" s="91"/>
      <c r="L217" s="202" t="s">
        <v>184</v>
      </c>
      <c r="M217" s="92"/>
      <c r="N217" s="92"/>
      <c r="O217" s="202" t="s">
        <v>185</v>
      </c>
      <c r="P217" s="92"/>
      <c r="Q217" s="92"/>
      <c r="R217" s="202" t="s">
        <v>186</v>
      </c>
      <c r="S217" s="92"/>
    </row>
    <row r="218" customFormat="false" ht="13.2" hidden="false" customHeight="false" outlineLevel="0" collapsed="false">
      <c r="A218" s="38"/>
      <c r="E218" s="203" t="s">
        <v>209</v>
      </c>
      <c r="F218" s="203"/>
      <c r="G218" s="203"/>
      <c r="H218" s="203" t="s">
        <v>190</v>
      </c>
      <c r="I218" s="203" t="s">
        <v>191</v>
      </c>
      <c r="J218" s="203" t="s">
        <v>192</v>
      </c>
      <c r="K218" s="203" t="s">
        <v>190</v>
      </c>
      <c r="L218" s="203" t="s">
        <v>191</v>
      </c>
      <c r="M218" s="203" t="s">
        <v>192</v>
      </c>
      <c r="N218" s="203" t="s">
        <v>190</v>
      </c>
      <c r="O218" s="203" t="s">
        <v>193</v>
      </c>
      <c r="P218" s="203" t="s">
        <v>192</v>
      </c>
      <c r="Q218" s="203" t="s">
        <v>190</v>
      </c>
      <c r="R218" s="203" t="s">
        <v>194</v>
      </c>
      <c r="S218" s="203" t="s">
        <v>195</v>
      </c>
    </row>
    <row r="219" customFormat="false" ht="13.2" hidden="false" customHeight="false" outlineLevel="0" collapsed="false">
      <c r="B219" s="201" t="s">
        <v>165</v>
      </c>
      <c r="C219" s="74"/>
      <c r="D219" s="61" t="s">
        <v>158</v>
      </c>
      <c r="F219" s="262" t="s">
        <v>210</v>
      </c>
      <c r="H219" s="38"/>
      <c r="I219" s="38"/>
      <c r="J219" s="38"/>
      <c r="K219" s="38"/>
      <c r="L219" s="38"/>
      <c r="M219" s="38"/>
      <c r="N219" s="38"/>
      <c r="O219" s="38"/>
      <c r="P219" s="38"/>
      <c r="Q219" s="38"/>
      <c r="R219" s="38"/>
    </row>
    <row r="220" customFormat="false" ht="13.2" hidden="false" customHeight="false" outlineLevel="0" collapsed="false">
      <c r="B220" s="73" t="s">
        <v>156</v>
      </c>
      <c r="C220" s="74"/>
      <c r="D220" s="263"/>
      <c r="E220" s="85" t="n">
        <f aca="false">+(N220+Q220)/8</f>
        <v>19.5</v>
      </c>
      <c r="H220" s="38"/>
      <c r="I220" s="38"/>
      <c r="J220" s="38"/>
      <c r="K220" s="92" t="n">
        <f aca="false">+K69+((K71+K72+K73+K74)*0.5)</f>
        <v>12</v>
      </c>
      <c r="L220" s="92" t="n">
        <f aca="false">+L69+((L71+L72+L73+L74)*0.5)</f>
        <v>20.5</v>
      </c>
      <c r="M220" s="92" t="n">
        <f aca="false">+M69+((M71+M72+M73+M74)*0.5)</f>
        <v>6.5</v>
      </c>
      <c r="N220" s="92" t="n">
        <f aca="false">+N69+((N71+N72+N73+N74)*0.5)</f>
        <v>24</v>
      </c>
      <c r="O220" s="92" t="n">
        <f aca="false">+O69+((O71+O72+O73+O74)*0.5)</f>
        <v>41</v>
      </c>
      <c r="P220" s="92" t="n">
        <f aca="false">+P69+((P71+P72+P73+P74)*0.5)</f>
        <v>13</v>
      </c>
      <c r="Q220" s="92" t="n">
        <f aca="false">+Q69+((Q71+Q72+Q73+Q74)*0.5)</f>
        <v>132</v>
      </c>
      <c r="R220" s="92" t="n">
        <f aca="false">+R69+((R71+R72+R73+R74)*0.5)</f>
        <v>210</v>
      </c>
      <c r="S220" s="92" t="n">
        <f aca="false">+S69+((S71+S72+S73+S74)*0.5)</f>
        <v>78</v>
      </c>
      <c r="T220" s="86" t="n">
        <f aca="false">SUM(K220:S220)</f>
        <v>537</v>
      </c>
    </row>
    <row r="221" customFormat="false" ht="13.2" hidden="false" customHeight="false" outlineLevel="0" collapsed="false">
      <c r="B221" s="73" t="s">
        <v>199</v>
      </c>
      <c r="C221" s="74"/>
      <c r="D221" s="263"/>
      <c r="H221" s="38"/>
      <c r="I221" s="38"/>
      <c r="J221" s="38"/>
      <c r="K221" s="264" t="n">
        <v>52</v>
      </c>
      <c r="L221" s="264" t="n">
        <v>65.5</v>
      </c>
      <c r="M221" s="264" t="n">
        <v>81</v>
      </c>
      <c r="N221" s="264" t="n">
        <v>48</v>
      </c>
      <c r="O221" s="264" t="n">
        <v>63</v>
      </c>
      <c r="P221" s="264" t="n">
        <v>77.5</v>
      </c>
      <c r="Q221" s="264" t="n">
        <v>46</v>
      </c>
      <c r="R221" s="264" t="n">
        <v>59</v>
      </c>
      <c r="S221" s="264" t="n">
        <v>72.5</v>
      </c>
    </row>
    <row r="222" customFormat="false" ht="13.2" hidden="false" customHeight="false" outlineLevel="0" collapsed="false">
      <c r="B222" s="73" t="s">
        <v>200</v>
      </c>
      <c r="C222" s="74"/>
      <c r="D222" s="263"/>
      <c r="H222" s="38"/>
      <c r="I222" s="38"/>
      <c r="J222" s="38"/>
      <c r="K222" s="265" t="n">
        <f aca="false">+K220*K221</f>
        <v>624</v>
      </c>
      <c r="L222" s="265" t="n">
        <f aca="false">+L220*L221</f>
        <v>1342.75</v>
      </c>
      <c r="M222" s="265" t="n">
        <f aca="false">+M220*M221</f>
        <v>526.5</v>
      </c>
      <c r="N222" s="265" t="n">
        <f aca="false">+N220*N221</f>
        <v>1152</v>
      </c>
      <c r="O222" s="265" t="n">
        <f aca="false">+O220*O221</f>
        <v>2583</v>
      </c>
      <c r="P222" s="265" t="n">
        <f aca="false">+P220*P221</f>
        <v>1007.5</v>
      </c>
      <c r="Q222" s="265" t="n">
        <f aca="false">+Q220*Q221</f>
        <v>6072</v>
      </c>
      <c r="R222" s="265" t="n">
        <f aca="false">+R220*R221</f>
        <v>12390</v>
      </c>
      <c r="S222" s="265" t="n">
        <f aca="false">+S220*S221</f>
        <v>5655</v>
      </c>
      <c r="T222" s="266" t="n">
        <f aca="false">SUM(K222:S222)</f>
        <v>31352.75</v>
      </c>
      <c r="U222" s="266"/>
    </row>
    <row r="223" customFormat="false" ht="13.2" hidden="false" customHeight="false" outlineLevel="0" collapsed="false">
      <c r="B223" s="73"/>
      <c r="C223" s="74"/>
      <c r="D223" s="263"/>
      <c r="H223" s="38"/>
      <c r="I223" s="38"/>
      <c r="J223" s="38"/>
      <c r="K223" s="265"/>
      <c r="L223" s="265"/>
      <c r="M223" s="265"/>
      <c r="N223" s="265"/>
      <c r="O223" s="265"/>
      <c r="P223" s="265"/>
      <c r="Q223" s="265"/>
      <c r="R223" s="265"/>
      <c r="S223" s="265"/>
      <c r="T223" s="54"/>
      <c r="U223" s="59"/>
    </row>
    <row r="224" customFormat="false" ht="13.2" hidden="false" customHeight="false" outlineLevel="0" collapsed="false">
      <c r="B224" s="201" t="s">
        <v>166</v>
      </c>
      <c r="C224" s="74"/>
      <c r="D224" s="61" t="s">
        <v>158</v>
      </c>
      <c r="F224" s="262" t="s">
        <v>211</v>
      </c>
      <c r="H224" s="38"/>
      <c r="I224" s="38"/>
      <c r="J224" s="38"/>
      <c r="K224" s="38"/>
      <c r="L224" s="38"/>
      <c r="M224" s="38"/>
      <c r="N224" s="38"/>
      <c r="O224" s="38"/>
      <c r="P224" s="38"/>
      <c r="Q224" s="38"/>
      <c r="R224" s="38"/>
    </row>
    <row r="225" customFormat="false" ht="13.2" hidden="false" customHeight="false" outlineLevel="0" collapsed="false">
      <c r="B225" s="73" t="s">
        <v>156</v>
      </c>
      <c r="E225" s="85" t="n">
        <f aca="false">+(N225+Q225)/8</f>
        <v>71</v>
      </c>
      <c r="H225" s="38"/>
      <c r="I225" s="38"/>
      <c r="J225" s="38"/>
      <c r="K225" s="92" t="n">
        <f aca="false">+((H122+H123+H124+H125+H126)*0.5)+H118+H119+H120</f>
        <v>36</v>
      </c>
      <c r="L225" s="92" t="n">
        <f aca="false">+((I122+I123+I124+I125+I126)*0.5)+I118+I119+I120</f>
        <v>23</v>
      </c>
      <c r="M225" s="92" t="n">
        <f aca="false">+((J122+J123+J124+J125+J126)*0.5)+J118+J119+J120</f>
        <v>14.5</v>
      </c>
      <c r="N225" s="92" t="n">
        <f aca="false">+((K122+K123+K124+K125+K126)*0.5)+K118+K119+K120</f>
        <v>72</v>
      </c>
      <c r="O225" s="92" t="n">
        <f aca="false">+((L122+L123+L124+L125+L126)*0.5)+L118+L119+L120</f>
        <v>45</v>
      </c>
      <c r="P225" s="92" t="n">
        <f aca="false">+((M122+M123+M124+M125+M126)*0.5)+M118+M119+M120</f>
        <v>27</v>
      </c>
      <c r="Q225" s="92" t="n">
        <f aca="false">+((N122+N123+N124+N125+N126)*0.5)+N118+N119+N120</f>
        <v>496</v>
      </c>
      <c r="R225" s="92" t="n">
        <f aca="false">+((O122+O123+O124+O125+O126)*0.5)+O118+O119+O120</f>
        <v>249</v>
      </c>
      <c r="S225" s="92" t="n">
        <f aca="false">+((P122+P123+P124+P125+P126)*0.5)+P118+P119+P120</f>
        <v>159.5</v>
      </c>
      <c r="T225" s="86" t="n">
        <f aca="false">SUM(K225:S225)</f>
        <v>1122</v>
      </c>
    </row>
    <row r="226" customFormat="false" ht="13.2" hidden="false" customHeight="false" outlineLevel="0" collapsed="false">
      <c r="B226" s="73" t="s">
        <v>199</v>
      </c>
      <c r="K226" s="264" t="n">
        <v>52</v>
      </c>
      <c r="L226" s="264" t="n">
        <v>65.5</v>
      </c>
      <c r="M226" s="264" t="n">
        <v>81</v>
      </c>
      <c r="N226" s="264" t="n">
        <v>48</v>
      </c>
      <c r="O226" s="264" t="n">
        <v>63</v>
      </c>
      <c r="P226" s="264" t="n">
        <v>77.5</v>
      </c>
      <c r="Q226" s="264" t="n">
        <v>46</v>
      </c>
      <c r="R226" s="264" t="n">
        <v>59</v>
      </c>
      <c r="S226" s="264" t="n">
        <v>72.5</v>
      </c>
    </row>
    <row r="227" customFormat="false" ht="13.2" hidden="false" customHeight="false" outlineLevel="0" collapsed="false">
      <c r="B227" s="73" t="s">
        <v>200</v>
      </c>
      <c r="K227" s="265" t="n">
        <f aca="false">+K225*K226</f>
        <v>1872</v>
      </c>
      <c r="L227" s="265" t="n">
        <f aca="false">+L225*L226</f>
        <v>1506.5</v>
      </c>
      <c r="M227" s="265" t="n">
        <f aca="false">+M225*M226</f>
        <v>1174.5</v>
      </c>
      <c r="N227" s="265" t="n">
        <f aca="false">+N225*N226</f>
        <v>3456</v>
      </c>
      <c r="O227" s="265" t="n">
        <f aca="false">+O225*O226</f>
        <v>2835</v>
      </c>
      <c r="P227" s="265" t="n">
        <f aca="false">+P225*P226</f>
        <v>2092.5</v>
      </c>
      <c r="Q227" s="265" t="n">
        <f aca="false">+Q225*Q226</f>
        <v>22816</v>
      </c>
      <c r="R227" s="265" t="n">
        <f aca="false">+R225*R226</f>
        <v>14691</v>
      </c>
      <c r="S227" s="265" t="n">
        <f aca="false">+S225*S226</f>
        <v>11563.75</v>
      </c>
      <c r="T227" s="266" t="n">
        <f aca="false">SUM(K227:S227)</f>
        <v>62007.25</v>
      </c>
      <c r="U227" s="266"/>
    </row>
    <row r="228" customFormat="false" ht="13.2" hidden="false" customHeight="false" outlineLevel="0" collapsed="false">
      <c r="B228" s="73"/>
      <c r="K228" s="265"/>
      <c r="L228" s="265"/>
      <c r="M228" s="265"/>
      <c r="N228" s="265"/>
      <c r="O228" s="265"/>
      <c r="P228" s="265"/>
      <c r="Q228" s="265"/>
      <c r="R228" s="265"/>
      <c r="S228" s="265"/>
      <c r="T228" s="54"/>
      <c r="U228" s="59"/>
    </row>
    <row r="229" customFormat="false" ht="13.2" hidden="false" customHeight="false" outlineLevel="0" collapsed="false">
      <c r="B229" s="201" t="s">
        <v>165</v>
      </c>
      <c r="C229" s="74"/>
      <c r="D229" s="61" t="s">
        <v>147</v>
      </c>
      <c r="F229" s="262" t="s">
        <v>212</v>
      </c>
      <c r="K229" s="267"/>
      <c r="L229" s="267"/>
      <c r="M229" s="267"/>
      <c r="N229" s="267"/>
      <c r="O229" s="267"/>
      <c r="P229" s="267"/>
      <c r="Q229" s="267"/>
      <c r="R229" s="267"/>
      <c r="S229" s="267"/>
      <c r="T229" s="86"/>
    </row>
    <row r="230" customFormat="false" ht="13.2" hidden="false" customHeight="false" outlineLevel="0" collapsed="false">
      <c r="B230" s="73" t="s">
        <v>156</v>
      </c>
      <c r="C230" s="74"/>
      <c r="D230" s="263"/>
      <c r="E230" s="85" t="n">
        <f aca="false">+(N230+Q230)/8</f>
        <v>62</v>
      </c>
      <c r="K230" s="86" t="n">
        <f aca="false">+K162+K163+K164+K165+K166+K167+K168+K169+K65+K66</f>
        <v>64</v>
      </c>
      <c r="L230" s="86" t="n">
        <f aca="false">+L162+L163+L164+L165+L166+L167+L168+L169+L65+L66</f>
        <v>31</v>
      </c>
      <c r="M230" s="86" t="n">
        <f aca="false">+M162+M163+M164+M165+M166+M167+M168+M169+M65+M66</f>
        <v>0</v>
      </c>
      <c r="N230" s="86" t="n">
        <f aca="false">+N162+N163+N164+N165+N166+N167+N168+N169+N65+N66</f>
        <v>80</v>
      </c>
      <c r="O230" s="86" t="n">
        <f aca="false">+O162+O163+O164+O165+O166+O167+O168+O169+O65+O66</f>
        <v>41</v>
      </c>
      <c r="P230" s="86" t="n">
        <f aca="false">+P162+P163+P164+P165+P166+P167+P168+P169+P65+P66</f>
        <v>0</v>
      </c>
      <c r="Q230" s="86" t="n">
        <f aca="false">+Q162+Q163+Q164+Q165+Q166+Q167+Q168+Q169+Q65+Q66</f>
        <v>416</v>
      </c>
      <c r="R230" s="86" t="n">
        <f aca="false">+R162+R163+R164+R165+R166+R167+R168+R169+R65+R66</f>
        <v>200</v>
      </c>
      <c r="S230" s="86" t="n">
        <f aca="false">+S162+S163+S164+S165+S166+S167+S168+S169+S65+S66</f>
        <v>0</v>
      </c>
      <c r="T230" s="86" t="n">
        <f aca="false">SUM(K230:S230)</f>
        <v>832</v>
      </c>
    </row>
    <row r="231" customFormat="false" ht="13.2" hidden="false" customHeight="false" outlineLevel="0" collapsed="false">
      <c r="B231" s="73" t="s">
        <v>199</v>
      </c>
      <c r="C231" s="74"/>
      <c r="D231" s="263"/>
      <c r="K231" s="264" t="n">
        <v>52</v>
      </c>
      <c r="L231" s="264" t="n">
        <v>65.5</v>
      </c>
      <c r="M231" s="264" t="n">
        <v>81</v>
      </c>
      <c r="N231" s="264" t="n">
        <v>48</v>
      </c>
      <c r="O231" s="264" t="n">
        <v>63</v>
      </c>
      <c r="P231" s="264" t="n">
        <v>77.5</v>
      </c>
      <c r="Q231" s="264" t="n">
        <v>46</v>
      </c>
      <c r="R231" s="264" t="n">
        <v>59</v>
      </c>
      <c r="S231" s="264" t="n">
        <v>72.5</v>
      </c>
    </row>
    <row r="232" customFormat="false" ht="13.2" hidden="false" customHeight="false" outlineLevel="0" collapsed="false">
      <c r="B232" s="73" t="s">
        <v>200</v>
      </c>
      <c r="C232" s="74"/>
      <c r="D232" s="263"/>
      <c r="K232" s="265" t="n">
        <f aca="false">+K230*K231</f>
        <v>3328</v>
      </c>
      <c r="L232" s="265" t="n">
        <f aca="false">+L230*L231</f>
        <v>2030.5</v>
      </c>
      <c r="M232" s="265" t="n">
        <f aca="false">+M230*M231</f>
        <v>0</v>
      </c>
      <c r="N232" s="265" t="n">
        <f aca="false">+N230*N231</f>
        <v>3840</v>
      </c>
      <c r="O232" s="265" t="n">
        <f aca="false">+O230*O231</f>
        <v>2583</v>
      </c>
      <c r="P232" s="265" t="n">
        <f aca="false">+P230*P231</f>
        <v>0</v>
      </c>
      <c r="Q232" s="265" t="n">
        <f aca="false">+Q230*Q231</f>
        <v>19136</v>
      </c>
      <c r="R232" s="265" t="n">
        <f aca="false">+R230*R231</f>
        <v>11800</v>
      </c>
      <c r="S232" s="265" t="n">
        <f aca="false">+S230*S231</f>
        <v>0</v>
      </c>
      <c r="T232" s="266" t="n">
        <f aca="false">SUM(K232:S232)</f>
        <v>42717.5</v>
      </c>
      <c r="U232" s="266"/>
    </row>
    <row r="233" customFormat="false" ht="13.2" hidden="false" customHeight="false" outlineLevel="0" collapsed="false">
      <c r="B233" s="73"/>
      <c r="C233" s="74"/>
      <c r="D233" s="263"/>
      <c r="K233" s="265"/>
      <c r="L233" s="265"/>
      <c r="M233" s="265"/>
      <c r="N233" s="265"/>
      <c r="O233" s="265"/>
      <c r="P233" s="265"/>
      <c r="Q233" s="265"/>
      <c r="R233" s="265"/>
      <c r="S233" s="265"/>
      <c r="T233" s="54"/>
      <c r="U233" s="59"/>
    </row>
    <row r="234" customFormat="false" ht="13.2" hidden="false" customHeight="false" outlineLevel="0" collapsed="false">
      <c r="B234" s="201" t="s">
        <v>166</v>
      </c>
      <c r="C234" s="74"/>
      <c r="D234" s="61" t="s">
        <v>147</v>
      </c>
      <c r="F234" s="262" t="s">
        <v>213</v>
      </c>
    </row>
    <row r="235" customFormat="false" ht="13.2" hidden="false" customHeight="false" outlineLevel="0" collapsed="false">
      <c r="B235" s="73" t="s">
        <v>156</v>
      </c>
      <c r="E235" s="85" t="n">
        <f aca="false">+(N235+Q235)/8</f>
        <v>6</v>
      </c>
      <c r="F235" s="38"/>
      <c r="N235" s="86" t="n">
        <f aca="false">+K179</f>
        <v>8</v>
      </c>
      <c r="O235" s="86" t="n">
        <f aca="false">+L179</f>
        <v>5</v>
      </c>
      <c r="P235" s="86" t="n">
        <f aca="false">+M179</f>
        <v>0</v>
      </c>
      <c r="Q235" s="86" t="n">
        <f aca="false">+N179</f>
        <v>40</v>
      </c>
      <c r="R235" s="86" t="n">
        <f aca="false">+O179</f>
        <v>20</v>
      </c>
      <c r="S235" s="86" t="n">
        <f aca="false">+P179</f>
        <v>0</v>
      </c>
      <c r="T235" s="86" t="n">
        <f aca="false">SUM(N235:S235)</f>
        <v>73</v>
      </c>
    </row>
    <row r="236" customFormat="false" ht="13.2" hidden="false" customHeight="false" outlineLevel="0" collapsed="false">
      <c r="B236" s="73" t="s">
        <v>199</v>
      </c>
      <c r="N236" s="264" t="n">
        <v>48</v>
      </c>
      <c r="O236" s="264" t="n">
        <v>63</v>
      </c>
      <c r="P236" s="264" t="n">
        <v>77.5</v>
      </c>
      <c r="Q236" s="264" t="n">
        <v>46</v>
      </c>
      <c r="R236" s="264" t="n">
        <v>59</v>
      </c>
      <c r="S236" s="264" t="n">
        <v>72.5</v>
      </c>
    </row>
    <row r="237" customFormat="false" ht="13.2" hidden="false" customHeight="false" outlineLevel="0" collapsed="false">
      <c r="B237" s="73" t="s">
        <v>200</v>
      </c>
      <c r="N237" s="265" t="n">
        <f aca="false">+N235*N236</f>
        <v>384</v>
      </c>
      <c r="O237" s="265" t="n">
        <f aca="false">+O235*O236</f>
        <v>315</v>
      </c>
      <c r="P237" s="265" t="n">
        <f aca="false">+P235*P236</f>
        <v>0</v>
      </c>
      <c r="Q237" s="265" t="n">
        <f aca="false">+Q235*Q236</f>
        <v>1840</v>
      </c>
      <c r="R237" s="265" t="n">
        <f aca="false">+R235*R236</f>
        <v>1180</v>
      </c>
      <c r="S237" s="265" t="n">
        <f aca="false">+S235*S236</f>
        <v>0</v>
      </c>
      <c r="T237" s="266" t="n">
        <f aca="false">SUM(K237:S237)</f>
        <v>3719</v>
      </c>
      <c r="U237" s="266"/>
    </row>
    <row r="238" customFormat="false" ht="13.2" hidden="false" customHeight="false" outlineLevel="0" collapsed="false">
      <c r="B238" s="73"/>
      <c r="N238" s="265"/>
      <c r="O238" s="265"/>
      <c r="P238" s="265"/>
      <c r="Q238" s="265"/>
      <c r="R238" s="265"/>
      <c r="S238" s="265"/>
      <c r="T238" s="54"/>
      <c r="U238" s="59"/>
    </row>
    <row r="239" customFormat="false" ht="13.2" hidden="false" customHeight="false" outlineLevel="0" collapsed="false">
      <c r="B239" s="201" t="s">
        <v>165</v>
      </c>
      <c r="C239" s="74"/>
      <c r="D239" s="61" t="s">
        <v>148</v>
      </c>
      <c r="F239" s="262" t="s">
        <v>214</v>
      </c>
    </row>
    <row r="240" customFormat="false" ht="13.2" hidden="false" customHeight="false" outlineLevel="0" collapsed="false">
      <c r="B240" s="73" t="s">
        <v>156</v>
      </c>
      <c r="C240" s="74"/>
      <c r="D240" s="263"/>
      <c r="E240" s="85" t="n">
        <v>27</v>
      </c>
      <c r="N240" s="86" t="n">
        <f aca="false">+N189+N190+N191+N192+N193+N194+N195+N196</f>
        <v>16</v>
      </c>
      <c r="O240" s="86" t="n">
        <f aca="false">+O189+O190+O191+O192+O193+O194+O195+O196</f>
        <v>21</v>
      </c>
      <c r="P240" s="86" t="n">
        <f aca="false">+P189+P190+P191+P192+P193+P194+P195+P196</f>
        <v>0</v>
      </c>
      <c r="Q240" s="86" t="n">
        <f aca="false">+Q189+Q190+Q191+Q192+Q193+Q194+Q195+Q196</f>
        <v>206</v>
      </c>
      <c r="R240" s="86" t="n">
        <f aca="false">+R189+R190+R191+R192+R193+R194+R195+R196</f>
        <v>196</v>
      </c>
      <c r="S240" s="86" t="n">
        <f aca="false">+S189+S190+S191+S192+S193+S194+S195+S196</f>
        <v>36</v>
      </c>
      <c r="T240" s="86" t="n">
        <f aca="false">SUM(N240:S240)</f>
        <v>475</v>
      </c>
    </row>
    <row r="241" customFormat="false" ht="13.2" hidden="false" customHeight="false" outlineLevel="0" collapsed="false">
      <c r="B241" s="73" t="s">
        <v>199</v>
      </c>
      <c r="C241" s="74"/>
      <c r="D241" s="263"/>
      <c r="N241" s="264" t="n">
        <v>48</v>
      </c>
      <c r="O241" s="264" t="n">
        <v>63</v>
      </c>
      <c r="P241" s="264" t="n">
        <v>77.5</v>
      </c>
      <c r="Q241" s="264" t="n">
        <v>46</v>
      </c>
      <c r="R241" s="264" t="n">
        <v>59</v>
      </c>
      <c r="S241" s="264" t="n">
        <v>72.5</v>
      </c>
    </row>
    <row r="242" customFormat="false" ht="13.2" hidden="false" customHeight="false" outlineLevel="0" collapsed="false">
      <c r="B242" s="73" t="s">
        <v>200</v>
      </c>
      <c r="C242" s="74"/>
      <c r="D242" s="263"/>
      <c r="N242" s="265" t="n">
        <f aca="false">+N240*N241</f>
        <v>768</v>
      </c>
      <c r="O242" s="265" t="n">
        <f aca="false">+O240*O241</f>
        <v>1323</v>
      </c>
      <c r="P242" s="265" t="n">
        <f aca="false">+P240*P241</f>
        <v>0</v>
      </c>
      <c r="Q242" s="265" t="n">
        <f aca="false">+Q240*Q241</f>
        <v>9476</v>
      </c>
      <c r="R242" s="265" t="n">
        <f aca="false">+R240*R241</f>
        <v>11564</v>
      </c>
      <c r="S242" s="265" t="n">
        <f aca="false">+S240*S241</f>
        <v>2610</v>
      </c>
      <c r="T242" s="266" t="n">
        <f aca="false">SUM(K242:S242)</f>
        <v>25741</v>
      </c>
      <c r="U242" s="266"/>
    </row>
    <row r="243" customFormat="false" ht="13.2" hidden="false" customHeight="false" outlineLevel="0" collapsed="false">
      <c r="B243" s="73"/>
      <c r="C243" s="74"/>
      <c r="D243" s="263"/>
      <c r="N243" s="265"/>
      <c r="O243" s="265"/>
      <c r="P243" s="265"/>
      <c r="Q243" s="265"/>
      <c r="R243" s="265"/>
      <c r="S243" s="265"/>
      <c r="T243" s="54"/>
      <c r="U243" s="59"/>
    </row>
    <row r="244" customFormat="false" ht="13.2" hidden="false" customHeight="false" outlineLevel="0" collapsed="false">
      <c r="B244" s="201" t="s">
        <v>166</v>
      </c>
      <c r="C244" s="74"/>
      <c r="D244" s="61" t="s">
        <v>148</v>
      </c>
      <c r="F244" s="262" t="s">
        <v>214</v>
      </c>
    </row>
    <row r="245" customFormat="false" ht="13.2" hidden="false" customHeight="false" outlineLevel="0" collapsed="false">
      <c r="B245" s="73" t="s">
        <v>156</v>
      </c>
      <c r="E245" s="85" t="n">
        <f aca="false">+(N245+Q245)/8</f>
        <v>13</v>
      </c>
      <c r="Q245" s="86" t="n">
        <f aca="false">+N205+N206+N207+N208+N209+N210</f>
        <v>104</v>
      </c>
      <c r="R245" s="86" t="n">
        <f aca="false">+O205+O206+O207+O208+O209+O210</f>
        <v>88</v>
      </c>
      <c r="S245" s="86" t="n">
        <f aca="false">+P205+P206+P207+P208+P209+P210</f>
        <v>36</v>
      </c>
      <c r="T245" s="86" t="n">
        <f aca="false">SUM(Q245:S245)</f>
        <v>228</v>
      </c>
    </row>
    <row r="246" customFormat="false" ht="13.2" hidden="false" customHeight="false" outlineLevel="0" collapsed="false">
      <c r="B246" s="73" t="s">
        <v>199</v>
      </c>
      <c r="N246" s="264" t="n">
        <v>48</v>
      </c>
      <c r="O246" s="264" t="n">
        <v>63</v>
      </c>
      <c r="P246" s="264" t="n">
        <v>77.5</v>
      </c>
      <c r="Q246" s="264" t="n">
        <v>46</v>
      </c>
      <c r="R246" s="264" t="n">
        <v>59</v>
      </c>
      <c r="S246" s="264" t="n">
        <v>72.5</v>
      </c>
    </row>
    <row r="247" customFormat="false" ht="13.2" hidden="false" customHeight="false" outlineLevel="0" collapsed="false">
      <c r="B247" s="73" t="s">
        <v>200</v>
      </c>
      <c r="N247" s="265" t="n">
        <f aca="false">+N245*N246</f>
        <v>0</v>
      </c>
      <c r="O247" s="265" t="n">
        <f aca="false">+O245*O246</f>
        <v>0</v>
      </c>
      <c r="P247" s="265" t="n">
        <f aca="false">+P245*P246</f>
        <v>0</v>
      </c>
      <c r="Q247" s="265" t="n">
        <f aca="false">+Q245*Q246</f>
        <v>4784</v>
      </c>
      <c r="R247" s="265" t="n">
        <f aca="false">+R245*R246</f>
        <v>5192</v>
      </c>
      <c r="S247" s="265" t="n">
        <f aca="false">+S245*S246</f>
        <v>2610</v>
      </c>
      <c r="T247" s="266" t="n">
        <f aca="false">SUM(K247:S247)</f>
        <v>12586</v>
      </c>
      <c r="U247" s="266"/>
    </row>
    <row r="249" customFormat="false" ht="13.2" hidden="false" customHeight="false" outlineLevel="0" collapsed="false">
      <c r="B249" s="201" t="s">
        <v>165</v>
      </c>
      <c r="C249" s="74"/>
      <c r="D249" s="61" t="s">
        <v>158</v>
      </c>
      <c r="F249" s="262" t="s">
        <v>215</v>
      </c>
      <c r="H249" s="38"/>
      <c r="I249" s="38"/>
      <c r="J249" s="38"/>
      <c r="K249" s="38"/>
      <c r="L249" s="38"/>
      <c r="M249" s="38"/>
      <c r="N249" s="38"/>
      <c r="O249" s="38"/>
      <c r="P249" s="38"/>
      <c r="Q249" s="38"/>
      <c r="R249" s="38"/>
    </row>
    <row r="250" customFormat="false" ht="13.2" hidden="false" customHeight="false" outlineLevel="0" collapsed="false">
      <c r="B250" s="73" t="s">
        <v>156</v>
      </c>
      <c r="C250" s="74"/>
      <c r="D250" s="263"/>
      <c r="E250" s="85" t="n">
        <f aca="false">+(N250+Q250)/8</f>
        <v>20</v>
      </c>
      <c r="H250" s="92" t="n">
        <f aca="false">+H92+H93+H94+H95+H96+H97+H98</f>
        <v>40</v>
      </c>
      <c r="I250" s="92" t="n">
        <f aca="false">+I92+I93+I94+I95+I96+I97+I98</f>
        <v>38</v>
      </c>
      <c r="J250" s="92" t="n">
        <f aca="false">+J92+J93+J94+J95+J96+J97+J98</f>
        <v>13</v>
      </c>
      <c r="K250" s="92" t="n">
        <f aca="false">+K92+K93+K94+K95+K96+K97+K98</f>
        <v>40</v>
      </c>
      <c r="L250" s="92" t="n">
        <f aca="false">+L92+L93+L94+L95+L96+L97+L98</f>
        <v>10</v>
      </c>
      <c r="M250" s="92" t="n">
        <f aca="false">+M92+M93+M94+M95+M96+M97+M98</f>
        <v>0</v>
      </c>
      <c r="N250" s="92" t="n">
        <f aca="false">+N92+N93+N94+N95+N96+N97+N98</f>
        <v>0</v>
      </c>
      <c r="O250" s="92" t="n">
        <f aca="false">+O92+O93+O94+O95+O96+O97+O98</f>
        <v>0</v>
      </c>
      <c r="P250" s="92" t="n">
        <f aca="false">+P92+P93+P94+P95+P96+P97+P98</f>
        <v>0</v>
      </c>
      <c r="Q250" s="92" t="n">
        <f aca="false">+Q92+Q93+Q94+Q95+Q96+Q97+Q98</f>
        <v>160</v>
      </c>
      <c r="R250" s="92" t="n">
        <f aca="false">+R92+R93+R94+R95+R96+R97+R98</f>
        <v>128</v>
      </c>
      <c r="S250" s="92" t="n">
        <f aca="false">+S92+S93+S94+S95+S96+S97+S98</f>
        <v>48</v>
      </c>
      <c r="T250" s="86" t="n">
        <f aca="false">SUM(H250:S250)</f>
        <v>477</v>
      </c>
    </row>
    <row r="251" customFormat="false" ht="13.2" hidden="false" customHeight="false" outlineLevel="0" collapsed="false">
      <c r="B251" s="73" t="s">
        <v>199</v>
      </c>
      <c r="C251" s="74"/>
      <c r="D251" s="263"/>
      <c r="H251" s="264" t="n">
        <v>52</v>
      </c>
      <c r="I251" s="264" t="n">
        <v>65.5</v>
      </c>
      <c r="J251" s="264" t="n">
        <v>81</v>
      </c>
      <c r="K251" s="264" t="n">
        <v>52</v>
      </c>
      <c r="L251" s="264" t="n">
        <v>65.5</v>
      </c>
      <c r="M251" s="264" t="n">
        <v>81</v>
      </c>
      <c r="N251" s="264" t="n">
        <v>48</v>
      </c>
      <c r="O251" s="264" t="n">
        <v>63</v>
      </c>
      <c r="P251" s="264" t="n">
        <v>77.5</v>
      </c>
      <c r="Q251" s="264" t="n">
        <v>46</v>
      </c>
      <c r="R251" s="264" t="n">
        <v>59</v>
      </c>
      <c r="S251" s="264" t="n">
        <v>72.5</v>
      </c>
    </row>
    <row r="252" customFormat="false" ht="13.2" hidden="false" customHeight="false" outlineLevel="0" collapsed="false">
      <c r="B252" s="73" t="s">
        <v>200</v>
      </c>
      <c r="C252" s="74"/>
      <c r="D252" s="263"/>
      <c r="H252" s="265" t="n">
        <f aca="false">+H250*H251</f>
        <v>2080</v>
      </c>
      <c r="I252" s="265" t="n">
        <f aca="false">+I250*I251</f>
        <v>2489</v>
      </c>
      <c r="J252" s="265" t="n">
        <f aca="false">+J250*J251</f>
        <v>1053</v>
      </c>
      <c r="K252" s="265" t="n">
        <f aca="false">+K250*K251</f>
        <v>2080</v>
      </c>
      <c r="L252" s="265" t="n">
        <f aca="false">+L250*L251</f>
        <v>655</v>
      </c>
      <c r="M252" s="265" t="n">
        <f aca="false">+M250*M251</f>
        <v>0</v>
      </c>
      <c r="N252" s="265" t="n">
        <f aca="false">+N250*N251</f>
        <v>0</v>
      </c>
      <c r="O252" s="265" t="n">
        <f aca="false">+O250*O251</f>
        <v>0</v>
      </c>
      <c r="P252" s="265" t="n">
        <f aca="false">+P250*P251</f>
        <v>0</v>
      </c>
      <c r="Q252" s="265" t="n">
        <f aca="false">+Q250*Q251</f>
        <v>7360</v>
      </c>
      <c r="R252" s="265" t="n">
        <f aca="false">+R250*R251</f>
        <v>7552</v>
      </c>
      <c r="S252" s="265" t="n">
        <f aca="false">+S250*S251</f>
        <v>3480</v>
      </c>
      <c r="T252" s="266" t="n">
        <f aca="false">SUM(H252:S252)</f>
        <v>26749</v>
      </c>
      <c r="U252" s="266"/>
    </row>
    <row r="253" customFormat="false" ht="13.2" hidden="false" customHeight="false" outlineLevel="0" collapsed="false">
      <c r="B253" s="73"/>
      <c r="C253" s="74"/>
      <c r="D253" s="263"/>
      <c r="H253" s="38"/>
      <c r="I253" s="38"/>
      <c r="J253" s="38"/>
      <c r="K253" s="265"/>
      <c r="L253" s="265"/>
      <c r="M253" s="265"/>
      <c r="N253" s="265"/>
      <c r="O253" s="265"/>
      <c r="P253" s="265"/>
      <c r="Q253" s="265"/>
      <c r="R253" s="265"/>
      <c r="S253" s="265"/>
      <c r="T253" s="54"/>
      <c r="U253" s="59"/>
    </row>
    <row r="254" customFormat="false" ht="13.2" hidden="false" customHeight="false" outlineLevel="0" collapsed="false">
      <c r="B254" s="201" t="s">
        <v>166</v>
      </c>
      <c r="C254" s="74"/>
      <c r="D254" s="61" t="s">
        <v>158</v>
      </c>
      <c r="F254" s="262" t="s">
        <v>215</v>
      </c>
      <c r="H254" s="38"/>
      <c r="I254" s="38"/>
      <c r="J254" s="38"/>
      <c r="K254" s="38"/>
      <c r="L254" s="38"/>
      <c r="M254" s="38"/>
      <c r="N254" s="38"/>
      <c r="O254" s="38"/>
      <c r="P254" s="38"/>
      <c r="Q254" s="38"/>
      <c r="R254" s="38"/>
    </row>
    <row r="255" customFormat="false" ht="13.2" hidden="false" customHeight="false" outlineLevel="0" collapsed="false">
      <c r="B255" s="73" t="s">
        <v>156</v>
      </c>
      <c r="E255" s="85" t="n">
        <f aca="false">+(N255+Q255)/8</f>
        <v>21</v>
      </c>
      <c r="K255" s="92" t="n">
        <f aca="false">+H144+H145+H146+H147+H148+H149+H150</f>
        <v>8</v>
      </c>
      <c r="L255" s="92" t="n">
        <f aca="false">+I144+I145+I146+I147+I148+I149+I150</f>
        <v>0</v>
      </c>
      <c r="M255" s="92" t="n">
        <f aca="false">+J144+J145+J146+J147+J148+J149+J150</f>
        <v>0</v>
      </c>
      <c r="N255" s="92" t="n">
        <f aca="false">+K144+K145+K146+K147+K148+K149+K150</f>
        <v>80</v>
      </c>
      <c r="O255" s="92" t="n">
        <f aca="false">+L144+L145+L146+L147+L148+L149+L150</f>
        <v>76</v>
      </c>
      <c r="P255" s="92" t="n">
        <f aca="false">+M144+M145+M146+M147+M148+M149+M150</f>
        <v>26</v>
      </c>
      <c r="Q255" s="92" t="n">
        <f aca="false">+N144+N145+N146+N147+N148+N149+N150</f>
        <v>88</v>
      </c>
      <c r="R255" s="92" t="n">
        <f aca="false">+O144+O145+O146+O147+O148+O149+O150</f>
        <v>64</v>
      </c>
      <c r="S255" s="92" t="n">
        <f aca="false">+P144+P145+P146+P147+P148+P149+P150</f>
        <v>24</v>
      </c>
      <c r="T255" s="86" t="n">
        <f aca="false">SUM(K255:S255)</f>
        <v>366</v>
      </c>
    </row>
    <row r="256" customFormat="false" ht="13.2" hidden="false" customHeight="false" outlineLevel="0" collapsed="false">
      <c r="B256" s="73" t="s">
        <v>199</v>
      </c>
      <c r="K256" s="264" t="n">
        <v>52</v>
      </c>
      <c r="L256" s="264" t="n">
        <v>65.5</v>
      </c>
      <c r="M256" s="264" t="n">
        <v>81</v>
      </c>
      <c r="N256" s="264" t="n">
        <v>52</v>
      </c>
      <c r="O256" s="264" t="n">
        <v>65.5</v>
      </c>
      <c r="P256" s="264" t="n">
        <v>81</v>
      </c>
      <c r="Q256" s="264" t="n">
        <v>48</v>
      </c>
      <c r="R256" s="264" t="n">
        <v>63</v>
      </c>
      <c r="S256" s="264" t="n">
        <v>77.5</v>
      </c>
    </row>
    <row r="257" customFormat="false" ht="13.2" hidden="false" customHeight="false" outlineLevel="0" collapsed="false">
      <c r="B257" s="73" t="s">
        <v>200</v>
      </c>
      <c r="K257" s="265" t="n">
        <f aca="false">+K255*K256</f>
        <v>416</v>
      </c>
      <c r="L257" s="265" t="n">
        <f aca="false">+L255*L256</f>
        <v>0</v>
      </c>
      <c r="M257" s="265" t="n">
        <f aca="false">+M255*M256</f>
        <v>0</v>
      </c>
      <c r="N257" s="265" t="n">
        <f aca="false">+N255*N256</f>
        <v>4160</v>
      </c>
      <c r="O257" s="265" t="n">
        <f aca="false">+O255*O256</f>
        <v>4978</v>
      </c>
      <c r="P257" s="265" t="n">
        <f aca="false">+P255*P256</f>
        <v>2106</v>
      </c>
      <c r="Q257" s="265" t="n">
        <f aca="false">+Q255*Q256</f>
        <v>4224</v>
      </c>
      <c r="R257" s="265" t="n">
        <f aca="false">+R255*R256</f>
        <v>4032</v>
      </c>
      <c r="S257" s="265" t="n">
        <f aca="false">+S255*S256</f>
        <v>1860</v>
      </c>
      <c r="T257" s="266" t="n">
        <f aca="false">SUM(K257:S257)</f>
        <v>21776</v>
      </c>
      <c r="U257" s="266"/>
    </row>
    <row r="258" customFormat="false" ht="13.2" hidden="false" customHeight="false" outlineLevel="0" collapsed="false">
      <c r="B258" s="73"/>
      <c r="K258" s="265"/>
      <c r="L258" s="265"/>
      <c r="M258" s="265"/>
      <c r="N258" s="265"/>
      <c r="O258" s="265"/>
      <c r="P258" s="265"/>
      <c r="Q258" s="265"/>
      <c r="R258" s="265"/>
      <c r="S258" s="265"/>
      <c r="T258" s="54"/>
      <c r="U258" s="59"/>
    </row>
    <row r="259" customFormat="false" ht="13.2" hidden="false" customHeight="false" outlineLevel="0" collapsed="false">
      <c r="A259" s="37" t="s">
        <v>216</v>
      </c>
      <c r="E259" s="85" t="n">
        <f aca="false">SUM(E220:E257)</f>
        <v>239.5</v>
      </c>
      <c r="T259" s="268"/>
    </row>
    <row r="260" customFormat="false" ht="13.2" hidden="false" customHeight="false" outlineLevel="0" collapsed="false">
      <c r="A260" s="39" t="s">
        <v>217</v>
      </c>
      <c r="H260" s="85" t="n">
        <f aca="false">+H250</f>
        <v>40</v>
      </c>
      <c r="I260" s="86" t="n">
        <f aca="false">+I250</f>
        <v>38</v>
      </c>
      <c r="J260" s="86" t="n">
        <f aca="false">+J250</f>
        <v>13</v>
      </c>
      <c r="K260" s="86" t="n">
        <f aca="false">+K220+K225+K230+K250+K255</f>
        <v>160</v>
      </c>
      <c r="L260" s="86" t="n">
        <f aca="false">+L220+L225+L230+L250+L255</f>
        <v>84.5</v>
      </c>
      <c r="M260" s="86" t="n">
        <f aca="false">+M220+M225+M230+M250+M255</f>
        <v>21</v>
      </c>
      <c r="N260" s="86" t="n">
        <f aca="false">+N220+N225+N230+N235+N240+N245+N250+N255</f>
        <v>280</v>
      </c>
      <c r="O260" s="86" t="n">
        <f aca="false">+O220+O225+O230+O235+O240+O245+O250+O255</f>
        <v>229</v>
      </c>
      <c r="P260" s="86" t="n">
        <f aca="false">+P220+P225+P230+P235+P240+P245+P250+P255</f>
        <v>66</v>
      </c>
      <c r="Q260" s="86" t="n">
        <f aca="false">+Q220+Q225+Q230+Q235+Q240+Q245+Q250+Q255</f>
        <v>1642</v>
      </c>
      <c r="R260" s="86" t="n">
        <f aca="false">+R220+R225+R230+R235+R240+R245+R250+R255</f>
        <v>1155</v>
      </c>
      <c r="S260" s="86" t="n">
        <f aca="false">+S220+S225+S230+S235+S240+S245+S250+S255</f>
        <v>381.5</v>
      </c>
      <c r="T260" s="86" t="n">
        <f aca="false">SUM(H260:S260)</f>
        <v>4110</v>
      </c>
    </row>
    <row r="261" customFormat="false" ht="13.2" hidden="false" customHeight="false" outlineLevel="0" collapsed="false">
      <c r="A261" s="37" t="s">
        <v>218</v>
      </c>
      <c r="H261" s="269" t="n">
        <f aca="false">+H252</f>
        <v>2080</v>
      </c>
      <c r="I261" s="270" t="n">
        <f aca="false">+I252</f>
        <v>2489</v>
      </c>
      <c r="J261" s="270" t="n">
        <f aca="false">+J252</f>
        <v>1053</v>
      </c>
      <c r="K261" s="270" t="n">
        <f aca="false">+K222+K227+K232+K252+K257</f>
        <v>8320</v>
      </c>
      <c r="L261" s="270" t="n">
        <f aca="false">+L222+L227+L232+L252+L257</f>
        <v>5534.75</v>
      </c>
      <c r="M261" s="270" t="n">
        <f aca="false">+M222+M227+M232+M252+M257</f>
        <v>1701</v>
      </c>
      <c r="N261" s="270" t="n">
        <f aca="false">+N222+N227+N232+N237+N242+N247+N252+N257</f>
        <v>13760</v>
      </c>
      <c r="O261" s="270" t="n">
        <f aca="false">+O222+O227+O232+O237+O242+O247+O252+O257</f>
        <v>14617</v>
      </c>
      <c r="P261" s="270" t="n">
        <f aca="false">+P222+P227+P232+P237+P242+P247+P252+P257</f>
        <v>5206</v>
      </c>
      <c r="Q261" s="270" t="n">
        <f aca="false">+Q222+Q227+Q232+Q237+Q242+Q247+Q252+Q257</f>
        <v>75708</v>
      </c>
      <c r="R261" s="270" t="n">
        <f aca="false">+R222+R227+R232+R237+R242+R247+R252+R257</f>
        <v>68401</v>
      </c>
      <c r="S261" s="270" t="n">
        <f aca="false">+S222+S227+S232+S237+S242+S247+S252+S257</f>
        <v>27778.75</v>
      </c>
      <c r="T261" s="98" t="n">
        <f aca="false">+T222+T227+T232+T237+T242+T247+T252+T257</f>
        <v>226648.5</v>
      </c>
      <c r="U261" s="98"/>
    </row>
    <row r="262" customFormat="false" ht="13.2" hidden="false" customHeight="false" outlineLevel="0" collapsed="false">
      <c r="S262" s="38" t="s">
        <v>103</v>
      </c>
      <c r="T262" s="98" t="n">
        <f aca="false">+T222+T232+T242+T252</f>
        <v>126560.25</v>
      </c>
      <c r="U262" s="98"/>
    </row>
    <row r="263" customFormat="false" ht="13.2" hidden="false" customHeight="false" outlineLevel="0" collapsed="false">
      <c r="S263" s="38" t="s">
        <v>113</v>
      </c>
      <c r="T263" s="98" t="n">
        <f aca="false">+T227+T237+T247+T257</f>
        <v>100088.25</v>
      </c>
      <c r="U263" s="98"/>
    </row>
    <row r="270" customFormat="false" ht="13.2" hidden="false" customHeight="false" outlineLevel="0" collapsed="false">
      <c r="B270" s="37" t="s">
        <v>219</v>
      </c>
    </row>
    <row r="272" customFormat="false" ht="13.2" hidden="false" customHeight="false" outlineLevel="0" collapsed="false">
      <c r="E272" s="86" t="s">
        <v>103</v>
      </c>
      <c r="G272" s="86"/>
      <c r="H272" s="39"/>
    </row>
    <row r="273" customFormat="false" ht="13.2" hidden="false" customHeight="false" outlineLevel="0" collapsed="false">
      <c r="F273" s="92"/>
      <c r="G273" s="203" t="s">
        <v>220</v>
      </c>
      <c r="K273" s="114" t="n">
        <f aca="false">SUM(U81:U91)</f>
        <v>133391</v>
      </c>
      <c r="L273" s="114"/>
    </row>
    <row r="274" customFormat="false" ht="13.2" hidden="false" customHeight="false" outlineLevel="0" collapsed="false">
      <c r="F274" s="92"/>
      <c r="G274" s="203" t="s">
        <v>221</v>
      </c>
      <c r="K274" s="114" t="n">
        <f aca="false">SUM(U59:U61)</f>
        <v>26054</v>
      </c>
      <c r="L274" s="114"/>
    </row>
    <row r="275" customFormat="false" ht="13.2" hidden="false" customHeight="false" outlineLevel="0" collapsed="false">
      <c r="F275" s="92"/>
      <c r="G275" s="203" t="s">
        <v>222</v>
      </c>
      <c r="K275" s="98" t="n">
        <f aca="false">14*150</f>
        <v>2100</v>
      </c>
      <c r="L275" s="98"/>
    </row>
    <row r="276" customFormat="false" ht="13.2" hidden="false" customHeight="false" outlineLevel="0" collapsed="false">
      <c r="F276" s="92"/>
      <c r="G276" s="203" t="s">
        <v>223</v>
      </c>
      <c r="K276" s="98" t="n">
        <f aca="false">15*2*75</f>
        <v>2250</v>
      </c>
      <c r="L276" s="98"/>
    </row>
    <row r="277" customFormat="false" ht="13.2" hidden="false" customHeight="false" outlineLevel="0" collapsed="false">
      <c r="E277" s="86" t="s">
        <v>113</v>
      </c>
      <c r="G277" s="86"/>
    </row>
    <row r="278" customFormat="false" ht="13.2" hidden="false" customHeight="false" outlineLevel="0" collapsed="false">
      <c r="F278" s="92"/>
      <c r="G278" s="203" t="s">
        <v>220</v>
      </c>
      <c r="K278" s="114" t="n">
        <f aca="false">SUM(R111:R113)</f>
        <v>21664</v>
      </c>
      <c r="L278" s="114"/>
    </row>
    <row r="279" customFormat="false" ht="13.2" hidden="false" customHeight="false" outlineLevel="0" collapsed="false">
      <c r="F279" s="92"/>
      <c r="G279" s="203" t="s">
        <v>221</v>
      </c>
      <c r="K279" s="114" t="n">
        <f aca="false">SUM(R133:R143)</f>
        <v>134588</v>
      </c>
      <c r="L279" s="114"/>
    </row>
    <row r="280" customFormat="false" ht="13.2" hidden="false" customHeight="false" outlineLevel="0" collapsed="false">
      <c r="F280" s="92"/>
      <c r="G280" s="203" t="s">
        <v>222</v>
      </c>
      <c r="K280" s="114" t="n">
        <f aca="false">14*150</f>
        <v>2100</v>
      </c>
      <c r="L280" s="114"/>
    </row>
    <row r="281" customFormat="false" ht="13.2" hidden="false" customHeight="false" outlineLevel="0" collapsed="false">
      <c r="G281" s="203" t="s">
        <v>224</v>
      </c>
      <c r="K281" s="85"/>
      <c r="L281" s="203" t="s">
        <v>225</v>
      </c>
    </row>
    <row r="283" customFormat="false" ht="13.2" hidden="false" customHeight="false" outlineLevel="0" collapsed="false">
      <c r="E283" s="85" t="s">
        <v>226</v>
      </c>
    </row>
    <row r="284" customFormat="false" ht="13.2" hidden="false" customHeight="false" outlineLevel="0" collapsed="false">
      <c r="F284" s="85" t="n">
        <v>389</v>
      </c>
      <c r="G284" s="85" t="s">
        <v>227</v>
      </c>
    </row>
    <row r="285" customFormat="false" ht="13.2" hidden="false" customHeight="false" outlineLevel="0" collapsed="false">
      <c r="F285" s="85" t="n">
        <v>80</v>
      </c>
      <c r="G285" s="85" t="s">
        <v>228</v>
      </c>
      <c r="K285" s="96" t="n">
        <f aca="false">+F284*F285</f>
        <v>31120</v>
      </c>
      <c r="L285" s="96"/>
    </row>
    <row r="287" customFormat="false" ht="13.2" hidden="false" customHeight="false" outlineLevel="0" collapsed="false">
      <c r="E287" s="73" t="s">
        <v>124</v>
      </c>
      <c r="F287" s="74"/>
      <c r="G287" s="127" t="n">
        <v>2508.48</v>
      </c>
      <c r="H287" s="127"/>
      <c r="J287" s="38"/>
      <c r="K287" s="38"/>
    </row>
    <row r="288" customFormat="false" ht="13.2" hidden="false" customHeight="false" outlineLevel="0" collapsed="false">
      <c r="E288" s="73" t="s">
        <v>125</v>
      </c>
      <c r="F288" s="74"/>
      <c r="G288" s="127" t="n">
        <v>7729.02</v>
      </c>
      <c r="H288" s="127"/>
      <c r="J288" s="38"/>
      <c r="K288" s="38"/>
    </row>
    <row r="289" customFormat="false" ht="13.2" hidden="false" customHeight="false" outlineLevel="0" collapsed="false">
      <c r="E289" s="73" t="s">
        <v>126</v>
      </c>
      <c r="F289" s="74"/>
      <c r="G289" s="127" t="n">
        <v>10907.57</v>
      </c>
      <c r="H289" s="127"/>
      <c r="J289" s="38"/>
      <c r="K289" s="38"/>
    </row>
    <row r="290" customFormat="false" ht="13.2" hidden="false" customHeight="false" outlineLevel="0" collapsed="false">
      <c r="E290" s="73" t="s">
        <v>127</v>
      </c>
      <c r="F290" s="74"/>
      <c r="G290" s="120" t="n">
        <v>1780.43</v>
      </c>
      <c r="H290" s="120"/>
      <c r="J290" s="38"/>
      <c r="K290" s="38"/>
    </row>
    <row r="291" customFormat="false" ht="13.2" hidden="false" customHeight="true" outlineLevel="0" collapsed="false">
      <c r="E291" s="271" t="s">
        <v>229</v>
      </c>
      <c r="F291" s="271"/>
      <c r="G291" s="266" t="n">
        <v>22925.5</v>
      </c>
      <c r="H291" s="266"/>
      <c r="J291" s="271"/>
      <c r="K291" s="271"/>
    </row>
    <row r="292" customFormat="false" ht="13.2" hidden="false" customHeight="false" outlineLevel="0" collapsed="false">
      <c r="E292" s="85" t="s">
        <v>230</v>
      </c>
      <c r="G292" s="96" t="n">
        <f aca="false">+G291*0.5</f>
        <v>11462.75</v>
      </c>
      <c r="H292" s="96"/>
      <c r="K292" s="272" t="n">
        <f aca="false">+G292</f>
        <v>11462.75</v>
      </c>
      <c r="L292" s="272"/>
    </row>
    <row r="294" customFormat="false" ht="13.2" hidden="false" customHeight="false" outlineLevel="0" collapsed="false">
      <c r="E294" s="85" t="s">
        <v>231</v>
      </c>
      <c r="K294" s="113" t="n">
        <f aca="false">SUM(K273:L292)</f>
        <v>364729.75</v>
      </c>
      <c r="L294" s="113"/>
    </row>
    <row r="295" customFormat="false" ht="13.2" hidden="false" customHeight="false" outlineLevel="0" collapsed="false">
      <c r="E295" s="85" t="s">
        <v>232</v>
      </c>
    </row>
    <row r="296" customFormat="false" ht="13.2" hidden="false" customHeight="false" outlineLevel="0" collapsed="false">
      <c r="E296" s="85" t="s">
        <v>233</v>
      </c>
      <c r="K296" s="272" t="n">
        <f aca="false">+K294*-0.5</f>
        <v>-182364.875</v>
      </c>
      <c r="L296" s="272"/>
    </row>
    <row r="297" customFormat="false" ht="13.2" hidden="false" customHeight="false" outlineLevel="0" collapsed="false">
      <c r="E297" s="85" t="s">
        <v>234</v>
      </c>
      <c r="K297" s="113" t="n">
        <f aca="false">+K294+K296</f>
        <v>182364.875</v>
      </c>
      <c r="L297" s="113"/>
    </row>
  </sheetData>
  <mergeCells count="147">
    <mergeCell ref="J3:K3"/>
    <mergeCell ref="M5:N5"/>
    <mergeCell ref="P5:Q5"/>
    <mergeCell ref="R5:S5"/>
    <mergeCell ref="T5:U5"/>
    <mergeCell ref="G6:H6"/>
    <mergeCell ref="I6:J6"/>
    <mergeCell ref="K6:L6"/>
    <mergeCell ref="M6:N6"/>
    <mergeCell ref="P6:Q6"/>
    <mergeCell ref="R6:S6"/>
    <mergeCell ref="T6:U6"/>
    <mergeCell ref="G8:H8"/>
    <mergeCell ref="I8:J8"/>
    <mergeCell ref="K8:L8"/>
    <mergeCell ref="M8:N8"/>
    <mergeCell ref="P8:Q8"/>
    <mergeCell ref="R8:S8"/>
    <mergeCell ref="T8:U8"/>
    <mergeCell ref="G10:H10"/>
    <mergeCell ref="I10:J10"/>
    <mergeCell ref="K10:L10"/>
    <mergeCell ref="M10:N10"/>
    <mergeCell ref="P10:Q10"/>
    <mergeCell ref="R10:S10"/>
    <mergeCell ref="T10:U10"/>
    <mergeCell ref="G12:H12"/>
    <mergeCell ref="I12:J12"/>
    <mergeCell ref="K12:L12"/>
    <mergeCell ref="M12:N12"/>
    <mergeCell ref="P12:Q12"/>
    <mergeCell ref="R12:S12"/>
    <mergeCell ref="T12:U12"/>
    <mergeCell ref="I19:J19"/>
    <mergeCell ref="K19:L19"/>
    <mergeCell ref="I21:J21"/>
    <mergeCell ref="K21:L21"/>
    <mergeCell ref="I23:J23"/>
    <mergeCell ref="K23:L23"/>
    <mergeCell ref="I25:J25"/>
    <mergeCell ref="K25:L25"/>
    <mergeCell ref="G28:H28"/>
    <mergeCell ref="H29:I29"/>
    <mergeCell ref="L32:M32"/>
    <mergeCell ref="O32:P32"/>
    <mergeCell ref="Q32:R32"/>
    <mergeCell ref="S32:T32"/>
    <mergeCell ref="H33:I33"/>
    <mergeCell ref="L33:M33"/>
    <mergeCell ref="O33:P33"/>
    <mergeCell ref="Q33:R33"/>
    <mergeCell ref="S33:T33"/>
    <mergeCell ref="L34:M34"/>
    <mergeCell ref="O34:P34"/>
    <mergeCell ref="Q34:R34"/>
    <mergeCell ref="S34:T34"/>
    <mergeCell ref="H35:I35"/>
    <mergeCell ref="H36:I36"/>
    <mergeCell ref="L36:M36"/>
    <mergeCell ref="O36:P36"/>
    <mergeCell ref="Q36:R36"/>
    <mergeCell ref="S36:T36"/>
    <mergeCell ref="H37:I37"/>
    <mergeCell ref="L37:M37"/>
    <mergeCell ref="O37:P37"/>
    <mergeCell ref="Q37:R37"/>
    <mergeCell ref="S37:T37"/>
    <mergeCell ref="L38:M38"/>
    <mergeCell ref="O38:P38"/>
    <mergeCell ref="Q38:R38"/>
    <mergeCell ref="S38:T38"/>
    <mergeCell ref="K40:P40"/>
    <mergeCell ref="Q40:R40"/>
    <mergeCell ref="S40:T40"/>
    <mergeCell ref="H41:I41"/>
    <mergeCell ref="L41:M41"/>
    <mergeCell ref="O41:P41"/>
    <mergeCell ref="Q41:R41"/>
    <mergeCell ref="S41:T41"/>
    <mergeCell ref="L42:M42"/>
    <mergeCell ref="O42:P42"/>
    <mergeCell ref="Q42:R42"/>
    <mergeCell ref="S42:T42"/>
    <mergeCell ref="G43:H43"/>
    <mergeCell ref="L43:M43"/>
    <mergeCell ref="O43:P43"/>
    <mergeCell ref="Q43:R43"/>
    <mergeCell ref="S43:T43"/>
    <mergeCell ref="L45:M45"/>
    <mergeCell ref="O45:P45"/>
    <mergeCell ref="Q45:R45"/>
    <mergeCell ref="S45:T45"/>
    <mergeCell ref="H46:I46"/>
    <mergeCell ref="L46:M46"/>
    <mergeCell ref="O46:P46"/>
    <mergeCell ref="Q46:R46"/>
    <mergeCell ref="S46:T46"/>
    <mergeCell ref="L47:M47"/>
    <mergeCell ref="O47:P47"/>
    <mergeCell ref="Q47:R47"/>
    <mergeCell ref="S47:T47"/>
    <mergeCell ref="L48:M48"/>
    <mergeCell ref="O48:P48"/>
    <mergeCell ref="Q48:R48"/>
    <mergeCell ref="H49:I49"/>
    <mergeCell ref="L49:M49"/>
    <mergeCell ref="O49:R49"/>
    <mergeCell ref="T49:U49"/>
    <mergeCell ref="H50:I50"/>
    <mergeCell ref="T50:U50"/>
    <mergeCell ref="E51:F51"/>
    <mergeCell ref="T51:U51"/>
    <mergeCell ref="H52:I52"/>
    <mergeCell ref="T52:U52"/>
    <mergeCell ref="E53:F53"/>
    <mergeCell ref="T53:U53"/>
    <mergeCell ref="E54:F54"/>
    <mergeCell ref="T54:U54"/>
    <mergeCell ref="T222:U222"/>
    <mergeCell ref="T227:U227"/>
    <mergeCell ref="T232:U232"/>
    <mergeCell ref="T237:U237"/>
    <mergeCell ref="T242:U242"/>
    <mergeCell ref="T247:U247"/>
    <mergeCell ref="T252:U252"/>
    <mergeCell ref="T257:U257"/>
    <mergeCell ref="T261:U261"/>
    <mergeCell ref="T262:U262"/>
    <mergeCell ref="T263:U263"/>
    <mergeCell ref="K273:L273"/>
    <mergeCell ref="K274:L274"/>
    <mergeCell ref="K275:L275"/>
    <mergeCell ref="K276:L276"/>
    <mergeCell ref="K278:L278"/>
    <mergeCell ref="K279:L279"/>
    <mergeCell ref="K280:L280"/>
    <mergeCell ref="K285:L285"/>
    <mergeCell ref="G287:H287"/>
    <mergeCell ref="G288:H288"/>
    <mergeCell ref="G289:H289"/>
    <mergeCell ref="G290:H290"/>
    <mergeCell ref="G291:H291"/>
    <mergeCell ref="G292:H292"/>
    <mergeCell ref="K292:L292"/>
    <mergeCell ref="K294:L294"/>
    <mergeCell ref="K296:L296"/>
    <mergeCell ref="K297:L297"/>
  </mergeCells>
  <printOptions headings="false" gridLines="false" gridLinesSet="true" horizontalCentered="false" verticalCentered="false"/>
  <pageMargins left="0.190277777777778" right="0.179861111111111" top="0.459722222222222" bottom="0.370138888888889" header="0.2" footer="0.179861111111111"/>
  <pageSetup paperSize="1" scale="75" fitToWidth="1" fitToHeight="1" pageOrder="downThenOver" orientation="landscape" blackAndWhite="false" draft="false" cellComments="none" horizontalDpi="300" verticalDpi="300" copies="1"/>
  <headerFooter differentFirst="false" differentOddEven="false">
    <oddHeader>&amp;L&amp;"Arial,Bold"&amp;12Doyle Power, LCC - Principal Insured&amp;C&amp;"Arial,Bold"&amp;12Schedule 1(Labor)&amp;RThru: &amp;D
Page &amp;P</oddHeader>
    <oddFooter>&amp;L&amp;F&amp;R&amp;A</oddFooter>
  </headerFooter>
  <rowBreaks count="5" manualBreakCount="5">
    <brk id="55" man="true" max="16383" min="0"/>
    <brk id="107" man="true" max="16383" min="0"/>
    <brk id="157" man="true" max="16383" min="0"/>
    <brk id="184" man="true" max="16383" min="0"/>
    <brk id="214" man="true" max="16383" min="0"/>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50"/>
  <sheetViews>
    <sheetView showFormulas="false" showGridLines="true" showRowColHeaders="true" showZeros="true" rightToLeft="false" tabSelected="false" showOutlineSymbols="true" defaultGridColor="true" view="pageBreakPreview" topLeftCell="A1" colorId="64" zoomScale="75" zoomScaleNormal="50" zoomScalePageLayoutView="75" workbookViewId="0">
      <selection pane="topLeft" activeCell="D6" activeCellId="0" sqref="D6"/>
    </sheetView>
  </sheetViews>
  <sheetFormatPr defaultColWidth="10.328125" defaultRowHeight="13.2" customHeight="true" zeroHeight="false" outlineLevelRow="0" outlineLevelCol="0"/>
  <cols>
    <col collapsed="false" customWidth="true" hidden="false" outlineLevel="0" max="1" min="1" style="37" width="5.55"/>
    <col collapsed="false" customWidth="true" hidden="false" outlineLevel="0" max="2" min="2" style="37" width="5.99"/>
    <col collapsed="false" customWidth="true" hidden="false" outlineLevel="0" max="3" min="3" style="37" width="4.33"/>
    <col collapsed="false" customWidth="true" hidden="false" outlineLevel="0" max="4" min="4" style="37" width="5.99"/>
    <col collapsed="false" customWidth="true" hidden="false" outlineLevel="0" max="5" min="5" style="37" width="1.99"/>
    <col collapsed="false" customWidth="true" hidden="false" outlineLevel="0" max="6" min="6" style="37" width="3.1"/>
    <col collapsed="false" customWidth="true" hidden="false" outlineLevel="0" max="7" min="7" style="38" width="1.99"/>
    <col collapsed="false" customWidth="true" hidden="false" outlineLevel="0" max="8" min="8" style="38" width="4.99"/>
    <col collapsed="false" customWidth="true" hidden="false" outlineLevel="0" max="9" min="9" style="38" width="11.55"/>
    <col collapsed="false" customWidth="true" hidden="false" outlineLevel="0" max="10" min="10" style="38" width="11.1"/>
    <col collapsed="false" customWidth="true" hidden="false" outlineLevel="0" max="11" min="11" style="39" width="13.66"/>
    <col collapsed="false" customWidth="true" hidden="false" outlineLevel="0" max="12" min="12" style="39" width="11.43"/>
    <col collapsed="false" customWidth="true" hidden="false" outlineLevel="0" max="13" min="13" style="38" width="10.55"/>
    <col collapsed="false" customWidth="true" hidden="false" outlineLevel="0" max="14" min="14" style="38" width="12.1"/>
    <col collapsed="false" customWidth="false" hidden="false" outlineLevel="0" max="257" min="15" style="38" width="10.32"/>
  </cols>
  <sheetData>
    <row r="1" customFormat="false" ht="15.6" hidden="false" customHeight="false" outlineLevel="0" collapsed="false">
      <c r="B1" s="41" t="s">
        <v>99</v>
      </c>
      <c r="C1" s="41"/>
      <c r="D1" s="41"/>
      <c r="E1" s="41"/>
      <c r="F1" s="41"/>
      <c r="G1" s="41"/>
      <c r="J1" s="42" t="s">
        <v>235</v>
      </c>
    </row>
    <row r="2" customFormat="false" ht="13.2" hidden="false" customHeight="false" outlineLevel="0" collapsed="false">
      <c r="B2" s="38" t="s">
        <v>25</v>
      </c>
      <c r="C2" s="38"/>
      <c r="D2" s="38"/>
      <c r="E2" s="38"/>
      <c r="F2" s="38"/>
    </row>
    <row r="3" customFormat="false" ht="4.95" hidden="false" customHeight="true" outlineLevel="0" collapsed="false">
      <c r="B3" s="38"/>
      <c r="C3" s="38"/>
      <c r="D3" s="38"/>
      <c r="E3" s="38"/>
      <c r="F3" s="38"/>
    </row>
    <row r="4" customFormat="false" ht="18.6" hidden="false" customHeight="true" outlineLevel="0" collapsed="false">
      <c r="A4" s="67" t="s">
        <v>6</v>
      </c>
      <c r="B4" s="68"/>
      <c r="C4" s="67" t="s">
        <v>26</v>
      </c>
      <c r="D4" s="67"/>
      <c r="E4" s="67"/>
      <c r="F4" s="69"/>
      <c r="G4" s="69"/>
      <c r="H4" s="68"/>
      <c r="I4" s="68"/>
      <c r="J4" s="68"/>
      <c r="K4" s="70" t="s">
        <v>28</v>
      </c>
      <c r="L4" s="273" t="s">
        <v>29</v>
      </c>
      <c r="M4" s="273"/>
      <c r="N4" s="70" t="s">
        <v>30</v>
      </c>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c r="IW4" s="68"/>
    </row>
    <row r="5" customFormat="false" ht="13.2" hidden="false" customHeight="false" outlineLevel="0" collapsed="false">
      <c r="A5" s="71" t="s">
        <v>101</v>
      </c>
      <c r="K5" s="38"/>
      <c r="M5" s="39"/>
    </row>
    <row r="6" customFormat="false" ht="13.2" hidden="false" customHeight="false" outlineLevel="0" collapsed="false">
      <c r="A6" s="37" t="s">
        <v>102</v>
      </c>
      <c r="H6" s="72" t="n">
        <v>36796</v>
      </c>
      <c r="I6" s="72"/>
      <c r="M6" s="39"/>
    </row>
    <row r="7" customFormat="false" ht="13.2" hidden="false" customHeight="false" outlineLevel="0" collapsed="false">
      <c r="A7" s="47" t="n">
        <v>3</v>
      </c>
      <c r="B7" s="73" t="s">
        <v>116</v>
      </c>
      <c r="C7" s="74"/>
      <c r="D7" s="74"/>
      <c r="E7" s="74"/>
      <c r="F7" s="74"/>
      <c r="K7" s="38"/>
      <c r="M7" s="39"/>
    </row>
    <row r="8" customFormat="false" ht="13.2" hidden="false" customHeight="false" outlineLevel="0" collapsed="false">
      <c r="A8" s="47"/>
      <c r="B8" s="73" t="s">
        <v>117</v>
      </c>
      <c r="C8" s="74"/>
      <c r="D8" s="74"/>
      <c r="E8" s="74"/>
      <c r="F8" s="74"/>
      <c r="K8" s="38"/>
      <c r="M8" s="39"/>
    </row>
    <row r="9" customFormat="false" ht="13.2" hidden="false" customHeight="false" outlineLevel="0" collapsed="false">
      <c r="A9" s="47"/>
      <c r="B9" s="73" t="s">
        <v>118</v>
      </c>
      <c r="C9" s="74"/>
      <c r="D9" s="74"/>
      <c r="E9" s="74"/>
      <c r="F9" s="74"/>
      <c r="K9" s="38"/>
      <c r="M9" s="39"/>
    </row>
    <row r="10" customFormat="false" ht="24.75" hidden="false" customHeight="true" outlineLevel="0" collapsed="false">
      <c r="A10" s="47"/>
      <c r="B10" s="79" t="s">
        <v>119</v>
      </c>
      <c r="C10" s="79"/>
      <c r="D10" s="79"/>
      <c r="E10" s="79"/>
      <c r="F10" s="79"/>
      <c r="G10" s="79"/>
      <c r="H10" s="79"/>
      <c r="I10" s="75" t="n">
        <v>121188.61</v>
      </c>
      <c r="J10" s="274" t="str">
        <f aca="false">+D96</f>
        <v>50% during alignment Adjustments</v>
      </c>
      <c r="K10" s="80"/>
      <c r="L10" s="275" t="n">
        <f aca="false">-I10</f>
        <v>-121188.61</v>
      </c>
      <c r="M10" s="275"/>
    </row>
    <row r="11" customFormat="false" ht="13.2" hidden="false" customHeight="false" outlineLevel="0" collapsed="false">
      <c r="A11" s="47"/>
      <c r="B11" s="73" t="s">
        <v>120</v>
      </c>
      <c r="C11" s="74"/>
      <c r="D11" s="74"/>
      <c r="I11" s="75" t="n">
        <v>30522.99</v>
      </c>
      <c r="J11" s="274" t="str">
        <f aca="false">+D99</f>
        <v>Associated with Mis-alignment</v>
      </c>
      <c r="K11" s="80"/>
      <c r="L11" s="275" t="n">
        <f aca="false">+I11*-0.5</f>
        <v>-15261.495</v>
      </c>
      <c r="M11" s="275"/>
    </row>
    <row r="12" customFormat="false" ht="13.2" hidden="false" customHeight="false" outlineLevel="0" collapsed="false">
      <c r="A12" s="47"/>
      <c r="B12" s="73" t="s">
        <v>121</v>
      </c>
      <c r="C12" s="74"/>
      <c r="D12" s="74"/>
      <c r="I12" s="75" t="n">
        <v>24263.32</v>
      </c>
      <c r="K12" s="80"/>
      <c r="L12" s="275"/>
      <c r="M12" s="275"/>
    </row>
    <row r="13" customFormat="false" ht="13.2" hidden="false" customHeight="false" outlineLevel="0" collapsed="false">
      <c r="A13" s="47"/>
      <c r="B13" s="73" t="s">
        <v>122</v>
      </c>
      <c r="C13" s="74"/>
      <c r="D13" s="74"/>
      <c r="I13" s="76" t="n">
        <v>2265.5</v>
      </c>
      <c r="K13" s="74"/>
      <c r="L13" s="275" t="n">
        <f aca="false">-I13</f>
        <v>-2265.5</v>
      </c>
      <c r="M13" s="275"/>
    </row>
    <row r="14" customFormat="false" ht="13.2" hidden="false" customHeight="false" outlineLevel="0" collapsed="false">
      <c r="A14" s="47"/>
      <c r="B14" s="74"/>
      <c r="C14" s="73" t="s">
        <v>123</v>
      </c>
      <c r="D14" s="74"/>
      <c r="I14" s="75" t="n">
        <v>178240.42</v>
      </c>
      <c r="K14" s="80"/>
      <c r="M14" s="39"/>
    </row>
    <row r="15" customFormat="false" ht="13.2" hidden="false" customHeight="false" outlineLevel="0" collapsed="false">
      <c r="A15" s="47"/>
      <c r="B15" s="74"/>
      <c r="C15" s="74"/>
      <c r="D15" s="74"/>
      <c r="I15" s="80"/>
      <c r="K15" s="80"/>
      <c r="M15" s="39"/>
    </row>
    <row r="16" customFormat="false" ht="13.2" hidden="false" customHeight="false" outlineLevel="0" collapsed="false">
      <c r="A16" s="47"/>
      <c r="B16" s="73" t="s">
        <v>124</v>
      </c>
      <c r="C16" s="74"/>
      <c r="D16" s="74"/>
      <c r="I16" s="75" t="n">
        <v>2508.48</v>
      </c>
      <c r="K16" s="74"/>
      <c r="M16" s="39"/>
    </row>
    <row r="17" customFormat="false" ht="13.2" hidden="false" customHeight="false" outlineLevel="0" collapsed="false">
      <c r="A17" s="47"/>
      <c r="B17" s="73" t="s">
        <v>125</v>
      </c>
      <c r="C17" s="74"/>
      <c r="D17" s="74"/>
      <c r="I17" s="75" t="n">
        <v>7729.02</v>
      </c>
      <c r="K17" s="74"/>
      <c r="M17" s="39"/>
    </row>
    <row r="18" customFormat="false" ht="13.2" hidden="false" customHeight="false" outlineLevel="0" collapsed="false">
      <c r="A18" s="47"/>
      <c r="B18" s="73" t="s">
        <v>126</v>
      </c>
      <c r="C18" s="74"/>
      <c r="D18" s="74"/>
      <c r="I18" s="75" t="n">
        <v>10907.57</v>
      </c>
      <c r="K18" s="74"/>
      <c r="M18" s="39"/>
    </row>
    <row r="19" customFormat="false" ht="13.2" hidden="false" customHeight="false" outlineLevel="0" collapsed="false">
      <c r="A19" s="47"/>
      <c r="B19" s="73" t="s">
        <v>127</v>
      </c>
      <c r="C19" s="74"/>
      <c r="D19" s="74"/>
      <c r="I19" s="76" t="n">
        <v>1780.43</v>
      </c>
      <c r="K19" s="81" t="s">
        <v>128</v>
      </c>
      <c r="L19" s="275" t="n">
        <f aca="false">+N117</f>
        <v>-1366.43</v>
      </c>
      <c r="M19" s="275"/>
    </row>
    <row r="20" customFormat="false" ht="27" hidden="false" customHeight="true" outlineLevel="0" collapsed="false">
      <c r="A20" s="47"/>
      <c r="B20" s="74"/>
      <c r="C20" s="79" t="s">
        <v>129</v>
      </c>
      <c r="D20" s="79"/>
      <c r="E20" s="79"/>
      <c r="F20" s="79"/>
      <c r="G20" s="79"/>
      <c r="H20" s="79"/>
      <c r="I20" s="54" t="n">
        <v>22925.5</v>
      </c>
      <c r="L20" s="275"/>
      <c r="M20" s="275"/>
    </row>
    <row r="21" customFormat="false" ht="14.25" hidden="false" customHeight="true" outlineLevel="0" collapsed="false">
      <c r="A21" s="47"/>
      <c r="B21" s="74"/>
      <c r="C21" s="271"/>
      <c r="D21" s="276"/>
      <c r="E21" s="276"/>
      <c r="F21" s="276"/>
      <c r="G21" s="276"/>
      <c r="H21" s="276"/>
      <c r="I21" s="54"/>
      <c r="K21" s="80" t="n">
        <v>201165.92</v>
      </c>
      <c r="L21" s="277"/>
      <c r="M21" s="277"/>
      <c r="N21" s="39" t="n">
        <f aca="false">+K21+N118</f>
        <v>61083.88525</v>
      </c>
    </row>
    <row r="22" customFormat="false" ht="13.2" hidden="false" customHeight="false" outlineLevel="0" collapsed="false">
      <c r="A22" s="47"/>
      <c r="B22" s="74"/>
      <c r="C22" s="74"/>
      <c r="D22" s="74"/>
      <c r="I22" s="74"/>
      <c r="K22" s="80"/>
      <c r="M22" s="39"/>
    </row>
    <row r="23" customFormat="false" ht="13.2" hidden="false" customHeight="false" outlineLevel="0" collapsed="false">
      <c r="A23" s="47" t="n">
        <v>4</v>
      </c>
      <c r="B23" s="73" t="s">
        <v>130</v>
      </c>
      <c r="C23" s="74"/>
      <c r="D23" s="74"/>
      <c r="I23" s="74"/>
      <c r="K23" s="75" t="n">
        <v>95120</v>
      </c>
      <c r="L23" s="275" t="n">
        <f aca="false">+J26</f>
        <v>-19160</v>
      </c>
      <c r="M23" s="275"/>
      <c r="N23" s="39" t="n">
        <f aca="false">+K23+L23</f>
        <v>75960</v>
      </c>
    </row>
    <row r="24" customFormat="false" ht="13.2" hidden="false" customHeight="false" outlineLevel="0" collapsed="false">
      <c r="A24" s="47"/>
      <c r="B24" s="73"/>
      <c r="C24" s="38"/>
      <c r="D24" s="74"/>
      <c r="H24" s="278" t="s">
        <v>236</v>
      </c>
      <c r="I24" s="279" t="n">
        <f aca="false">+K23/80</f>
        <v>1189</v>
      </c>
      <c r="K24" s="75"/>
      <c r="L24" s="277"/>
      <c r="M24" s="277"/>
    </row>
    <row r="25" customFormat="false" ht="13.2" hidden="false" customHeight="false" outlineLevel="0" collapsed="false">
      <c r="A25" s="47"/>
      <c r="B25" s="280" t="s">
        <v>237</v>
      </c>
      <c r="C25" s="281"/>
      <c r="D25" s="281"/>
      <c r="E25" s="261"/>
      <c r="F25" s="261"/>
      <c r="G25" s="274"/>
      <c r="H25" s="274"/>
      <c r="I25" s="281"/>
      <c r="J25" s="274"/>
      <c r="K25" s="75"/>
      <c r="L25" s="277"/>
      <c r="M25" s="277"/>
    </row>
    <row r="26" customFormat="false" ht="13.2" hidden="false" customHeight="false" outlineLevel="0" collapsed="false">
      <c r="A26" s="47"/>
      <c r="B26" s="280"/>
      <c r="C26" s="281"/>
      <c r="D26" s="281"/>
      <c r="E26" s="261"/>
      <c r="F26" s="261"/>
      <c r="G26" s="274"/>
      <c r="H26" s="282" t="s">
        <v>236</v>
      </c>
      <c r="I26" s="283" t="n">
        <f aca="false">+'Schedule 1 (L)'!E259</f>
        <v>239.5</v>
      </c>
      <c r="J26" s="75" t="n">
        <f aca="false">+I26*-80</f>
        <v>-19160</v>
      </c>
      <c r="K26" s="75"/>
      <c r="L26" s="277"/>
      <c r="M26" s="277"/>
    </row>
    <row r="27" customFormat="false" ht="13.2" hidden="false" customHeight="false" outlineLevel="0" collapsed="false">
      <c r="A27" s="47"/>
      <c r="B27" s="74"/>
      <c r="C27" s="74"/>
      <c r="D27" s="74"/>
      <c r="I27" s="74"/>
      <c r="K27" s="80"/>
      <c r="M27" s="39"/>
    </row>
    <row r="28" customFormat="false" ht="13.2" hidden="false" customHeight="false" outlineLevel="0" collapsed="false">
      <c r="A28" s="47" t="n">
        <v>5</v>
      </c>
      <c r="B28" s="73" t="s">
        <v>131</v>
      </c>
      <c r="C28" s="74"/>
      <c r="D28" s="74"/>
      <c r="I28" s="74"/>
      <c r="K28" s="80"/>
      <c r="M28" s="39"/>
    </row>
    <row r="29" customFormat="false" ht="13.2" hidden="false" customHeight="false" outlineLevel="0" collapsed="false">
      <c r="A29" s="47"/>
      <c r="B29" s="82"/>
      <c r="C29" s="73" t="s">
        <v>132</v>
      </c>
      <c r="D29" s="74"/>
      <c r="I29" s="74"/>
      <c r="K29" s="75" t="n">
        <v>9026.6</v>
      </c>
      <c r="L29" s="275" t="n">
        <v>0</v>
      </c>
      <c r="M29" s="275"/>
      <c r="N29" s="39" t="n">
        <f aca="false">+K29+L29</f>
        <v>9026.6</v>
      </c>
    </row>
    <row r="30" customFormat="false" ht="13.2" hidden="false" customHeight="false" outlineLevel="0" collapsed="false">
      <c r="A30" s="47"/>
      <c r="B30" s="74"/>
      <c r="C30" s="74"/>
      <c r="D30" s="74"/>
      <c r="I30" s="74"/>
      <c r="K30" s="80"/>
      <c r="M30" s="39"/>
    </row>
    <row r="31" customFormat="false" ht="13.2" hidden="false" customHeight="false" outlineLevel="0" collapsed="false">
      <c r="A31" s="47" t="n">
        <v>6</v>
      </c>
      <c r="B31" s="73" t="s">
        <v>133</v>
      </c>
      <c r="C31" s="74"/>
      <c r="D31" s="74"/>
      <c r="I31" s="74"/>
      <c r="K31" s="80"/>
      <c r="M31" s="39"/>
    </row>
    <row r="32" customFormat="false" ht="13.2" hidden="false" customHeight="false" outlineLevel="0" collapsed="false">
      <c r="A32" s="47"/>
      <c r="B32" s="73" t="s">
        <v>134</v>
      </c>
      <c r="C32" s="74"/>
      <c r="D32" s="74"/>
      <c r="H32" s="38" t="s">
        <v>238</v>
      </c>
      <c r="I32" s="74"/>
      <c r="K32" s="75" t="n">
        <v>8349.4</v>
      </c>
      <c r="L32" s="275" t="n">
        <f aca="false">-K32</f>
        <v>-8349.4</v>
      </c>
      <c r="M32" s="275"/>
      <c r="N32" s="47" t="s">
        <v>239</v>
      </c>
    </row>
    <row r="33" customFormat="false" ht="6.75" hidden="false" customHeight="true" outlineLevel="0" collapsed="false">
      <c r="A33" s="47"/>
      <c r="B33" s="73"/>
      <c r="C33" s="74"/>
      <c r="D33" s="74"/>
      <c r="I33" s="74"/>
      <c r="K33" s="83"/>
      <c r="L33" s="83"/>
      <c r="M33" s="83"/>
      <c r="N33" s="83"/>
    </row>
    <row r="34" customFormat="false" ht="13.2" hidden="false" customHeight="false" outlineLevel="0" collapsed="false">
      <c r="A34" s="47"/>
      <c r="B34" s="73"/>
      <c r="C34" s="74"/>
      <c r="D34" s="74"/>
      <c r="I34" s="74"/>
      <c r="K34" s="75" t="n">
        <f aca="false">SUM(K7:K33)</f>
        <v>313661.92</v>
      </c>
      <c r="L34" s="275" t="n">
        <f aca="false">SUM(L5:M33)</f>
        <v>-167591.435</v>
      </c>
      <c r="M34" s="275"/>
      <c r="N34" s="75" t="n">
        <f aca="false">SUM(N7:N33)</f>
        <v>146070.48525</v>
      </c>
    </row>
    <row r="35" customFormat="false" ht="13.2" hidden="false" customHeight="false" outlineLevel="0" collapsed="false">
      <c r="A35" s="47"/>
      <c r="B35" s="73"/>
      <c r="C35" s="74"/>
      <c r="D35" s="74"/>
      <c r="I35" s="74"/>
      <c r="K35" s="75"/>
      <c r="M35" s="39"/>
    </row>
    <row r="36" customFormat="false" ht="13.2" hidden="false" customHeight="false" outlineLevel="0" collapsed="false">
      <c r="A36" s="47"/>
      <c r="B36" s="73"/>
      <c r="C36" s="74"/>
      <c r="D36" s="74"/>
      <c r="I36" s="74"/>
      <c r="K36" s="75"/>
      <c r="M36" s="39"/>
    </row>
    <row r="37" customFormat="false" ht="13.2" hidden="false" customHeight="false" outlineLevel="0" collapsed="false">
      <c r="A37" s="47"/>
      <c r="B37" s="73"/>
      <c r="C37" s="74"/>
      <c r="D37" s="74"/>
      <c r="I37" s="74"/>
      <c r="K37" s="75"/>
      <c r="M37" s="39"/>
    </row>
    <row r="38" customFormat="false" ht="13.2" hidden="false" customHeight="false" outlineLevel="0" collapsed="false">
      <c r="A38" s="284" t="s">
        <v>240</v>
      </c>
      <c r="B38" s="284" t="s">
        <v>241</v>
      </c>
      <c r="D38" s="284" t="s">
        <v>242</v>
      </c>
      <c r="I38" s="284" t="s">
        <v>243</v>
      </c>
      <c r="J38" s="285" t="s">
        <v>244</v>
      </c>
      <c r="K38" s="286" t="s">
        <v>245</v>
      </c>
      <c r="L38" s="287" t="s">
        <v>246</v>
      </c>
      <c r="M38" s="287" t="s">
        <v>247</v>
      </c>
      <c r="N38" s="287" t="s">
        <v>248</v>
      </c>
      <c r="O38" s="39"/>
      <c r="P38" s="39"/>
    </row>
    <row r="39" customFormat="false" ht="13.2" hidden="false" customHeight="false" outlineLevel="0" collapsed="false">
      <c r="A39" s="288" t="n">
        <v>1</v>
      </c>
      <c r="B39" s="289" t="s">
        <v>124</v>
      </c>
      <c r="D39" s="290" t="s">
        <v>249</v>
      </c>
      <c r="I39" s="290" t="s">
        <v>250</v>
      </c>
      <c r="J39" s="289" t="s">
        <v>251</v>
      </c>
      <c r="K39" s="291" t="n">
        <v>12.14</v>
      </c>
      <c r="L39" s="39" t="n">
        <f aca="false">+K39*0.15</f>
        <v>1.821</v>
      </c>
      <c r="M39" s="39" t="n">
        <f aca="false">+K39+L39</f>
        <v>13.961</v>
      </c>
      <c r="N39" s="39"/>
      <c r="O39" s="39"/>
      <c r="P39" s="39"/>
    </row>
    <row r="40" customFormat="false" ht="13.2" hidden="false" customHeight="false" outlineLevel="0" collapsed="false">
      <c r="A40" s="288" t="n">
        <v>2</v>
      </c>
      <c r="B40" s="289" t="s">
        <v>124</v>
      </c>
      <c r="D40" s="290" t="s">
        <v>249</v>
      </c>
      <c r="I40" s="290" t="s">
        <v>252</v>
      </c>
      <c r="J40" s="289" t="s">
        <v>253</v>
      </c>
      <c r="K40" s="291" t="n">
        <v>259.46</v>
      </c>
      <c r="L40" s="39" t="n">
        <f aca="false">+K40*0.15</f>
        <v>38.919</v>
      </c>
      <c r="M40" s="39" t="n">
        <f aca="false">+K40+L40</f>
        <v>298.379</v>
      </c>
      <c r="N40" s="39"/>
      <c r="O40" s="39"/>
      <c r="P40" s="39"/>
    </row>
    <row r="41" customFormat="false" ht="13.2" hidden="false" customHeight="false" outlineLevel="0" collapsed="false">
      <c r="A41" s="288" t="n">
        <v>3</v>
      </c>
      <c r="B41" s="289" t="s">
        <v>124</v>
      </c>
      <c r="D41" s="290" t="s">
        <v>249</v>
      </c>
      <c r="I41" s="290" t="s">
        <v>254</v>
      </c>
      <c r="J41" s="289" t="s">
        <v>255</v>
      </c>
      <c r="K41" s="291" t="n">
        <v>117.26</v>
      </c>
      <c r="L41" s="39" t="n">
        <f aca="false">+K41*0.15</f>
        <v>17.589</v>
      </c>
      <c r="M41" s="39" t="n">
        <f aca="false">+K41+L41</f>
        <v>134.849</v>
      </c>
      <c r="N41" s="39"/>
      <c r="O41" s="39"/>
      <c r="P41" s="39"/>
    </row>
    <row r="42" customFormat="false" ht="13.2" hidden="false" customHeight="false" outlineLevel="0" collapsed="false">
      <c r="A42" s="288" t="n">
        <v>4</v>
      </c>
      <c r="B42" s="289" t="s">
        <v>124</v>
      </c>
      <c r="D42" s="290" t="s">
        <v>249</v>
      </c>
      <c r="I42" s="290" t="s">
        <v>256</v>
      </c>
      <c r="J42" s="289" t="s">
        <v>257</v>
      </c>
      <c r="K42" s="291" t="n">
        <v>262.34</v>
      </c>
      <c r="L42" s="39" t="n">
        <f aca="false">+K42*0.15</f>
        <v>39.351</v>
      </c>
      <c r="M42" s="39" t="n">
        <f aca="false">+K42+L42</f>
        <v>301.691</v>
      </c>
      <c r="N42" s="39"/>
      <c r="O42" s="39"/>
      <c r="P42" s="39"/>
    </row>
    <row r="43" customFormat="false" ht="13.2" hidden="false" customHeight="false" outlineLevel="0" collapsed="false">
      <c r="A43" s="288" t="n">
        <v>5</v>
      </c>
      <c r="B43" s="289" t="s">
        <v>124</v>
      </c>
      <c r="D43" s="290" t="s">
        <v>249</v>
      </c>
      <c r="I43" s="290" t="s">
        <v>254</v>
      </c>
      <c r="J43" s="289" t="s">
        <v>258</v>
      </c>
      <c r="K43" s="291" t="n">
        <v>114.82</v>
      </c>
      <c r="L43" s="39" t="n">
        <f aca="false">+K43*0.15</f>
        <v>17.223</v>
      </c>
      <c r="M43" s="39" t="n">
        <f aca="false">+K43+L43</f>
        <v>132.043</v>
      </c>
      <c r="N43" s="39"/>
      <c r="O43" s="39"/>
      <c r="P43" s="39"/>
    </row>
    <row r="44" customFormat="false" ht="13.2" hidden="false" customHeight="false" outlineLevel="0" collapsed="false">
      <c r="A44" s="288" t="n">
        <v>6</v>
      </c>
      <c r="B44" s="289" t="s">
        <v>124</v>
      </c>
      <c r="D44" s="290" t="s">
        <v>249</v>
      </c>
      <c r="I44" s="290" t="s">
        <v>259</v>
      </c>
      <c r="J44" s="289" t="s">
        <v>260</v>
      </c>
      <c r="K44" s="291" t="n">
        <v>202.03</v>
      </c>
      <c r="L44" s="39" t="n">
        <f aca="false">+K44*0.15</f>
        <v>30.3045</v>
      </c>
      <c r="M44" s="39" t="n">
        <f aca="false">+K44+L44</f>
        <v>232.3345</v>
      </c>
      <c r="N44" s="39"/>
      <c r="O44" s="39"/>
      <c r="P44" s="39"/>
    </row>
    <row r="45" customFormat="false" ht="13.2" hidden="false" customHeight="false" outlineLevel="0" collapsed="false">
      <c r="A45" s="288" t="n">
        <v>7</v>
      </c>
      <c r="B45" s="289" t="s">
        <v>124</v>
      </c>
      <c r="D45" s="290" t="s">
        <v>249</v>
      </c>
      <c r="I45" s="290" t="s">
        <v>250</v>
      </c>
      <c r="J45" s="289" t="s">
        <v>261</v>
      </c>
      <c r="K45" s="291" t="n">
        <v>184.73</v>
      </c>
      <c r="L45" s="39" t="n">
        <f aca="false">+K45*0.15</f>
        <v>27.7095</v>
      </c>
      <c r="M45" s="39" t="n">
        <f aca="false">+K45+L45</f>
        <v>212.4395</v>
      </c>
      <c r="N45" s="39"/>
      <c r="O45" s="39"/>
      <c r="P45" s="39"/>
    </row>
    <row r="46" customFormat="false" ht="13.2" hidden="false" customHeight="false" outlineLevel="0" collapsed="false">
      <c r="A46" s="288" t="n">
        <v>8</v>
      </c>
      <c r="B46" s="289" t="s">
        <v>124</v>
      </c>
      <c r="D46" s="290" t="s">
        <v>249</v>
      </c>
      <c r="I46" s="290" t="s">
        <v>250</v>
      </c>
      <c r="J46" s="289" t="s">
        <v>262</v>
      </c>
      <c r="K46" s="291" t="n">
        <v>274.97</v>
      </c>
      <c r="L46" s="39" t="n">
        <f aca="false">+K46*0.15</f>
        <v>41.2455</v>
      </c>
      <c r="M46" s="39" t="n">
        <f aca="false">+K46+L46</f>
        <v>316.2155</v>
      </c>
      <c r="N46" s="39"/>
      <c r="O46" s="39"/>
      <c r="P46" s="39"/>
    </row>
    <row r="47" customFormat="false" ht="13.2" hidden="false" customHeight="false" outlineLevel="0" collapsed="false">
      <c r="A47" s="288" t="n">
        <v>9</v>
      </c>
      <c r="B47" s="289" t="s">
        <v>124</v>
      </c>
      <c r="D47" s="290" t="s">
        <v>249</v>
      </c>
      <c r="I47" s="290" t="s">
        <v>263</v>
      </c>
      <c r="J47" s="289" t="s">
        <v>264</v>
      </c>
      <c r="K47" s="291" t="n">
        <v>120.99</v>
      </c>
      <c r="L47" s="39" t="n">
        <f aca="false">+K47*0.15</f>
        <v>18.1485</v>
      </c>
      <c r="M47" s="39" t="n">
        <f aca="false">+K47+L47</f>
        <v>139.1385</v>
      </c>
      <c r="N47" s="39"/>
      <c r="O47" s="39"/>
      <c r="P47" s="39"/>
    </row>
    <row r="48" customFormat="false" ht="13.2" hidden="false" customHeight="false" outlineLevel="0" collapsed="false">
      <c r="A48" s="288" t="n">
        <v>10</v>
      </c>
      <c r="B48" s="289" t="s">
        <v>124</v>
      </c>
      <c r="D48" s="290" t="s">
        <v>265</v>
      </c>
      <c r="I48" s="290" t="s">
        <v>254</v>
      </c>
      <c r="J48" s="289" t="s">
        <v>266</v>
      </c>
      <c r="K48" s="291" t="n">
        <v>-111.85</v>
      </c>
      <c r="L48" s="39" t="n">
        <f aca="false">+K48*0.15</f>
        <v>-16.7775</v>
      </c>
      <c r="M48" s="39" t="n">
        <f aca="false">+K48+L48</f>
        <v>-128.6275</v>
      </c>
      <c r="N48" s="39"/>
      <c r="O48" s="39"/>
      <c r="P48" s="39"/>
    </row>
    <row r="49" customFormat="false" ht="13.2" hidden="false" customHeight="false" outlineLevel="0" collapsed="false">
      <c r="A49" s="288" t="n">
        <v>11</v>
      </c>
      <c r="B49" s="289" t="s">
        <v>124</v>
      </c>
      <c r="D49" s="290" t="s">
        <v>265</v>
      </c>
      <c r="I49" s="290" t="s">
        <v>267</v>
      </c>
      <c r="J49" s="289" t="s">
        <v>268</v>
      </c>
      <c r="K49" s="291" t="n">
        <v>-120.99</v>
      </c>
      <c r="L49" s="39" t="n">
        <f aca="false">+K49*0.15</f>
        <v>-18.1485</v>
      </c>
      <c r="M49" s="39" t="n">
        <f aca="false">+K49+L49</f>
        <v>-139.1385</v>
      </c>
      <c r="N49" s="39"/>
      <c r="O49" s="39"/>
      <c r="P49" s="39"/>
    </row>
    <row r="50" customFormat="false" ht="13.2" hidden="false" customHeight="false" outlineLevel="0" collapsed="false">
      <c r="A50" s="288" t="n">
        <v>12</v>
      </c>
      <c r="B50" s="289" t="s">
        <v>124</v>
      </c>
      <c r="D50" s="290" t="s">
        <v>269</v>
      </c>
      <c r="I50" s="290" t="s">
        <v>252</v>
      </c>
      <c r="J50" s="289" t="n">
        <v>52411</v>
      </c>
      <c r="K50" s="291" t="n">
        <v>52.63</v>
      </c>
      <c r="L50" s="39" t="n">
        <f aca="false">+K50*0.15</f>
        <v>7.8945</v>
      </c>
      <c r="M50" s="39" t="n">
        <f aca="false">+K50+L50</f>
        <v>60.5245</v>
      </c>
      <c r="N50" s="39"/>
      <c r="O50" s="39"/>
      <c r="P50" s="39"/>
    </row>
    <row r="51" customFormat="false" ht="13.2" hidden="false" customHeight="false" outlineLevel="0" collapsed="false">
      <c r="A51" s="288" t="n">
        <v>13</v>
      </c>
      <c r="B51" s="289" t="s">
        <v>124</v>
      </c>
      <c r="D51" s="290" t="s">
        <v>269</v>
      </c>
      <c r="I51" s="290" t="s">
        <v>252</v>
      </c>
      <c r="J51" s="289" t="n">
        <v>52923</v>
      </c>
      <c r="K51" s="291" t="n">
        <v>71.07</v>
      </c>
      <c r="L51" s="39" t="n">
        <f aca="false">+K51*0.15</f>
        <v>10.6605</v>
      </c>
      <c r="M51" s="39" t="n">
        <f aca="false">+K51+L51</f>
        <v>81.7305</v>
      </c>
      <c r="N51" s="39"/>
      <c r="O51" s="39"/>
      <c r="P51" s="39"/>
    </row>
    <row r="52" customFormat="false" ht="13.2" hidden="false" customHeight="false" outlineLevel="0" collapsed="false">
      <c r="A52" s="288" t="n">
        <v>14</v>
      </c>
      <c r="B52" s="289" t="s">
        <v>124</v>
      </c>
      <c r="D52" s="290" t="s">
        <v>269</v>
      </c>
      <c r="I52" s="290" t="s">
        <v>252</v>
      </c>
      <c r="J52" s="289" t="n">
        <v>52924</v>
      </c>
      <c r="K52" s="291" t="n">
        <v>21.36</v>
      </c>
      <c r="L52" s="39" t="n">
        <f aca="false">+K52*0.15</f>
        <v>3.204</v>
      </c>
      <c r="M52" s="39" t="n">
        <f aca="false">+K52+L52</f>
        <v>24.564</v>
      </c>
      <c r="N52" s="39"/>
      <c r="O52" s="39"/>
      <c r="P52" s="39"/>
    </row>
    <row r="53" customFormat="false" ht="13.2" hidden="false" customHeight="false" outlineLevel="0" collapsed="false">
      <c r="A53" s="288" t="n">
        <v>15</v>
      </c>
      <c r="B53" s="289" t="s">
        <v>124</v>
      </c>
      <c r="D53" s="290" t="s">
        <v>269</v>
      </c>
      <c r="I53" s="290" t="s">
        <v>252</v>
      </c>
      <c r="J53" s="289" t="n">
        <v>53454</v>
      </c>
      <c r="K53" s="291" t="n">
        <v>81.77</v>
      </c>
      <c r="L53" s="39" t="n">
        <f aca="false">+K53*0.15</f>
        <v>12.2655</v>
      </c>
      <c r="M53" s="39" t="n">
        <f aca="false">+K53+L53</f>
        <v>94.0355</v>
      </c>
      <c r="N53" s="39"/>
      <c r="O53" s="39"/>
      <c r="P53" s="39"/>
    </row>
    <row r="54" customFormat="false" ht="13.2" hidden="false" customHeight="false" outlineLevel="0" collapsed="false">
      <c r="A54" s="288" t="n">
        <v>16</v>
      </c>
      <c r="B54" s="289" t="s">
        <v>124</v>
      </c>
      <c r="D54" s="290" t="s">
        <v>269</v>
      </c>
      <c r="I54" s="290" t="s">
        <v>252</v>
      </c>
      <c r="J54" s="289" t="n">
        <v>53636</v>
      </c>
      <c r="K54" s="291" t="n">
        <v>14.38</v>
      </c>
      <c r="L54" s="39" t="n">
        <f aca="false">+K54*0.15</f>
        <v>2.157</v>
      </c>
      <c r="M54" s="39" t="n">
        <f aca="false">+K54+L54</f>
        <v>16.537</v>
      </c>
      <c r="N54" s="39"/>
      <c r="O54" s="39"/>
      <c r="P54" s="39"/>
    </row>
    <row r="55" customFormat="false" ht="13.2" hidden="false" customHeight="false" outlineLevel="0" collapsed="false">
      <c r="A55" s="288" t="n">
        <v>17</v>
      </c>
      <c r="B55" s="289" t="s">
        <v>124</v>
      </c>
      <c r="D55" s="290" t="s">
        <v>269</v>
      </c>
      <c r="I55" s="290" t="s">
        <v>252</v>
      </c>
      <c r="J55" s="289" t="n">
        <v>53723</v>
      </c>
      <c r="K55" s="291" t="n">
        <v>94.03</v>
      </c>
      <c r="L55" s="39" t="n">
        <f aca="false">+K55*0.15</f>
        <v>14.1045</v>
      </c>
      <c r="M55" s="39" t="n">
        <f aca="false">+K55+L55</f>
        <v>108.1345</v>
      </c>
      <c r="N55" s="39"/>
      <c r="O55" s="39"/>
      <c r="P55" s="39"/>
    </row>
    <row r="56" customFormat="false" ht="13.2" hidden="false" customHeight="false" outlineLevel="0" collapsed="false">
      <c r="A56" s="288" t="n">
        <v>18</v>
      </c>
      <c r="B56" s="289" t="s">
        <v>124</v>
      </c>
      <c r="D56" s="290" t="s">
        <v>269</v>
      </c>
      <c r="I56" s="290" t="s">
        <v>252</v>
      </c>
      <c r="J56" s="289" t="n">
        <v>53724</v>
      </c>
      <c r="K56" s="291" t="n">
        <v>208.29</v>
      </c>
      <c r="L56" s="39" t="n">
        <f aca="false">+K56*0.15</f>
        <v>31.2435</v>
      </c>
      <c r="M56" s="39" t="n">
        <f aca="false">+K56+L56</f>
        <v>239.5335</v>
      </c>
      <c r="N56" s="39"/>
      <c r="O56" s="39"/>
      <c r="P56" s="39"/>
    </row>
    <row r="57" customFormat="false" ht="13.2" hidden="false" customHeight="false" outlineLevel="0" collapsed="false">
      <c r="A57" s="288" t="n">
        <v>19</v>
      </c>
      <c r="B57" s="289" t="s">
        <v>124</v>
      </c>
      <c r="D57" s="290" t="s">
        <v>269</v>
      </c>
      <c r="I57" s="290" t="s">
        <v>252</v>
      </c>
      <c r="J57" s="289" t="n">
        <v>53839</v>
      </c>
      <c r="K57" s="291" t="n">
        <v>121.32</v>
      </c>
      <c r="L57" s="39" t="n">
        <f aca="false">+K57*0.15</f>
        <v>18.198</v>
      </c>
      <c r="M57" s="39" t="n">
        <f aca="false">+K57+L57</f>
        <v>139.518</v>
      </c>
      <c r="N57" s="39"/>
      <c r="O57" s="39"/>
      <c r="P57" s="39"/>
    </row>
    <row r="58" customFormat="false" ht="13.2" hidden="false" customHeight="false" outlineLevel="0" collapsed="false">
      <c r="A58" s="288" t="n">
        <v>20</v>
      </c>
      <c r="B58" s="289" t="s">
        <v>124</v>
      </c>
      <c r="D58" s="290" t="s">
        <v>270</v>
      </c>
      <c r="I58" s="290" t="s">
        <v>252</v>
      </c>
      <c r="J58" s="289" t="n">
        <v>38349540</v>
      </c>
      <c r="K58" s="291" t="n">
        <v>40.55</v>
      </c>
      <c r="L58" s="39" t="n">
        <f aca="false">+K58*0.15</f>
        <v>6.0825</v>
      </c>
      <c r="M58" s="39" t="n">
        <f aca="false">+K58+L58</f>
        <v>46.6325</v>
      </c>
      <c r="N58" s="39"/>
      <c r="O58" s="39"/>
      <c r="P58" s="39"/>
    </row>
    <row r="59" customFormat="false" ht="13.2" hidden="false" customHeight="false" outlineLevel="0" collapsed="false">
      <c r="A59" s="288" t="n">
        <v>21</v>
      </c>
      <c r="B59" s="289" t="s">
        <v>124</v>
      </c>
      <c r="D59" s="290" t="s">
        <v>270</v>
      </c>
      <c r="I59" s="290" t="s">
        <v>252</v>
      </c>
      <c r="J59" s="289" t="n">
        <v>38450850</v>
      </c>
      <c r="K59" s="291" t="n">
        <v>9.06</v>
      </c>
      <c r="L59" s="39" t="n">
        <f aca="false">+K59*0.15</f>
        <v>1.359</v>
      </c>
      <c r="M59" s="39" t="n">
        <f aca="false">+K59+L59</f>
        <v>10.419</v>
      </c>
      <c r="N59" s="39"/>
      <c r="O59" s="39"/>
      <c r="P59" s="39"/>
    </row>
    <row r="60" customFormat="false" ht="13.2" hidden="false" customHeight="false" outlineLevel="0" collapsed="false">
      <c r="A60" s="288" t="n">
        <v>22</v>
      </c>
      <c r="B60" s="289" t="s">
        <v>124</v>
      </c>
      <c r="D60" s="290" t="s">
        <v>270</v>
      </c>
      <c r="I60" s="290" t="s">
        <v>256</v>
      </c>
      <c r="J60" s="289" t="n">
        <v>38514550</v>
      </c>
      <c r="K60" s="291" t="n">
        <v>50.13</v>
      </c>
      <c r="L60" s="39" t="n">
        <f aca="false">+K60*0.15</f>
        <v>7.5195</v>
      </c>
      <c r="M60" s="39" t="n">
        <f aca="false">+K60+L60</f>
        <v>57.6495</v>
      </c>
      <c r="N60" s="39"/>
      <c r="O60" s="39"/>
      <c r="P60" s="39"/>
    </row>
    <row r="61" customFormat="false" ht="13.2" hidden="false" customHeight="false" outlineLevel="0" collapsed="false">
      <c r="A61" s="288" t="n">
        <v>23</v>
      </c>
      <c r="B61" s="289" t="s">
        <v>124</v>
      </c>
      <c r="D61" s="290" t="s">
        <v>270</v>
      </c>
      <c r="I61" s="290" t="s">
        <v>252</v>
      </c>
      <c r="J61" s="289" t="n">
        <v>38547210</v>
      </c>
      <c r="K61" s="291" t="n">
        <v>67.49</v>
      </c>
      <c r="L61" s="39" t="n">
        <f aca="false">+K61*0.15</f>
        <v>10.1235</v>
      </c>
      <c r="M61" s="39" t="n">
        <f aca="false">+K61+L61</f>
        <v>77.6135</v>
      </c>
      <c r="N61" s="39"/>
      <c r="O61" s="39"/>
      <c r="P61" s="39"/>
    </row>
    <row r="62" customFormat="false" ht="13.2" hidden="false" customHeight="false" outlineLevel="0" collapsed="false">
      <c r="A62" s="288" t="n">
        <v>24</v>
      </c>
      <c r="B62" s="289" t="s">
        <v>124</v>
      </c>
      <c r="D62" s="290" t="s">
        <v>270</v>
      </c>
      <c r="I62" s="290" t="s">
        <v>252</v>
      </c>
      <c r="J62" s="289" t="n">
        <v>40730320</v>
      </c>
      <c r="K62" s="291" t="n">
        <v>33.32</v>
      </c>
      <c r="L62" s="39" t="n">
        <f aca="false">+K62*0.15</f>
        <v>4.998</v>
      </c>
      <c r="M62" s="39" t="n">
        <f aca="false">+K62+L62</f>
        <v>38.318</v>
      </c>
      <c r="N62" s="39"/>
      <c r="O62" s="39"/>
      <c r="P62" s="39"/>
    </row>
    <row r="63" customFormat="false" ht="13.2" hidden="false" customHeight="false" outlineLevel="0" collapsed="false">
      <c r="A63" s="288"/>
      <c r="B63" s="289"/>
      <c r="D63" s="290"/>
      <c r="I63" s="290"/>
      <c r="J63" s="292" t="n">
        <f aca="false">SUM(K39:K62)</f>
        <v>2181.3</v>
      </c>
      <c r="K63" s="38"/>
      <c r="M63" s="39"/>
      <c r="N63" s="39"/>
      <c r="O63" s="39"/>
      <c r="P63" s="39"/>
    </row>
    <row r="64" customFormat="false" ht="13.2" hidden="false" customHeight="false" outlineLevel="0" collapsed="false">
      <c r="A64" s="288" t="n">
        <v>25</v>
      </c>
      <c r="B64" s="289" t="s">
        <v>125</v>
      </c>
      <c r="D64" s="290" t="s">
        <v>271</v>
      </c>
      <c r="I64" s="290" t="s">
        <v>272</v>
      </c>
      <c r="J64" s="289" t="n">
        <v>2667</v>
      </c>
      <c r="K64" s="291" t="n">
        <v>743.49</v>
      </c>
      <c r="L64" s="39" t="n">
        <f aca="false">+K64*0.15</f>
        <v>111.5235</v>
      </c>
      <c r="M64" s="39" t="n">
        <f aca="false">+K64+L64</f>
        <v>855.0135</v>
      </c>
      <c r="N64" s="39"/>
      <c r="O64" s="39"/>
      <c r="P64" s="39"/>
    </row>
    <row r="65" customFormat="false" ht="13.2" hidden="false" customHeight="false" outlineLevel="0" collapsed="false">
      <c r="A65" s="288" t="n">
        <v>26</v>
      </c>
      <c r="B65" s="289" t="s">
        <v>125</v>
      </c>
      <c r="D65" s="290" t="s">
        <v>271</v>
      </c>
      <c r="I65" s="290" t="s">
        <v>272</v>
      </c>
      <c r="J65" s="289" t="n">
        <v>89936</v>
      </c>
      <c r="K65" s="291" t="n">
        <v>2042.4</v>
      </c>
      <c r="L65" s="39" t="n">
        <f aca="false">+K65*0.15</f>
        <v>306.36</v>
      </c>
      <c r="M65" s="39" t="n">
        <f aca="false">+K65+L65</f>
        <v>2348.76</v>
      </c>
      <c r="N65" s="39"/>
      <c r="O65" s="39"/>
      <c r="P65" s="39"/>
    </row>
    <row r="66" customFormat="false" ht="13.2" hidden="false" customHeight="false" outlineLevel="0" collapsed="false">
      <c r="A66" s="288" t="n">
        <v>27</v>
      </c>
      <c r="B66" s="289" t="s">
        <v>125</v>
      </c>
      <c r="D66" s="290" t="s">
        <v>271</v>
      </c>
      <c r="I66" s="290" t="s">
        <v>273</v>
      </c>
      <c r="J66" s="289" t="n">
        <v>477256</v>
      </c>
      <c r="K66" s="291" t="n">
        <v>60</v>
      </c>
      <c r="L66" s="39" t="n">
        <f aca="false">+K66*0.15</f>
        <v>9</v>
      </c>
      <c r="M66" s="39" t="n">
        <f aca="false">+K66+L66</f>
        <v>69</v>
      </c>
      <c r="N66" s="39"/>
      <c r="O66" s="39"/>
      <c r="P66" s="39"/>
    </row>
    <row r="67" customFormat="false" ht="13.2" hidden="false" customHeight="false" outlineLevel="0" collapsed="false">
      <c r="A67" s="288" t="n">
        <v>28</v>
      </c>
      <c r="B67" s="289" t="s">
        <v>125</v>
      </c>
      <c r="D67" s="290" t="s">
        <v>271</v>
      </c>
      <c r="I67" s="290" t="s">
        <v>273</v>
      </c>
      <c r="J67" s="289" t="n">
        <v>478728</v>
      </c>
      <c r="K67" s="291" t="n">
        <v>35</v>
      </c>
      <c r="L67" s="39" t="n">
        <f aca="false">+K67*0.15</f>
        <v>5.25</v>
      </c>
      <c r="M67" s="39" t="n">
        <f aca="false">+K67+L67</f>
        <v>40.25</v>
      </c>
      <c r="N67" s="39"/>
      <c r="O67" s="39"/>
      <c r="P67" s="39"/>
    </row>
    <row r="68" customFormat="false" ht="13.2" hidden="false" customHeight="false" outlineLevel="0" collapsed="false">
      <c r="A68" s="288" t="n">
        <v>29</v>
      </c>
      <c r="B68" s="289" t="s">
        <v>125</v>
      </c>
      <c r="D68" s="290" t="s">
        <v>274</v>
      </c>
      <c r="I68" s="290" t="s">
        <v>272</v>
      </c>
      <c r="J68" s="289" t="n">
        <v>8289</v>
      </c>
      <c r="K68" s="291" t="n">
        <v>1672</v>
      </c>
      <c r="L68" s="39" t="n">
        <f aca="false">+K68*0.15</f>
        <v>250.8</v>
      </c>
      <c r="M68" s="39" t="n">
        <f aca="false">+K68+L68</f>
        <v>1922.8</v>
      </c>
      <c r="N68" s="39"/>
      <c r="O68" s="39"/>
      <c r="P68" s="39"/>
    </row>
    <row r="69" customFormat="false" ht="13.2" hidden="false" customHeight="false" outlineLevel="0" collapsed="false">
      <c r="A69" s="288" t="n">
        <v>30</v>
      </c>
      <c r="B69" s="289" t="s">
        <v>125</v>
      </c>
      <c r="D69" s="290" t="s">
        <v>274</v>
      </c>
      <c r="I69" s="290" t="s">
        <v>272</v>
      </c>
      <c r="J69" s="289" t="n">
        <v>8306</v>
      </c>
      <c r="K69" s="291" t="n">
        <v>968</v>
      </c>
      <c r="L69" s="39" t="n">
        <f aca="false">+K69*0.15</f>
        <v>145.2</v>
      </c>
      <c r="M69" s="39" t="n">
        <f aca="false">+K69+L69</f>
        <v>1113.2</v>
      </c>
      <c r="N69" s="39"/>
      <c r="O69" s="39"/>
      <c r="P69" s="39"/>
    </row>
    <row r="70" customFormat="false" ht="13.2" hidden="false" customHeight="false" outlineLevel="0" collapsed="false">
      <c r="A70" s="288" t="n">
        <v>31</v>
      </c>
      <c r="B70" s="289" t="s">
        <v>125</v>
      </c>
      <c r="D70" s="290" t="s">
        <v>275</v>
      </c>
      <c r="I70" s="290" t="s">
        <v>272</v>
      </c>
      <c r="J70" s="289" t="n">
        <v>4621</v>
      </c>
      <c r="K70" s="291" t="n">
        <v>1200</v>
      </c>
      <c r="L70" s="39" t="n">
        <f aca="false">+K70*0.15</f>
        <v>180</v>
      </c>
      <c r="M70" s="39" t="n">
        <f aca="false">+K70+L70</f>
        <v>1380</v>
      </c>
      <c r="N70" s="39"/>
      <c r="O70" s="39"/>
      <c r="P70" s="39"/>
    </row>
    <row r="71" customFormat="false" ht="13.2" hidden="false" customHeight="false" outlineLevel="0" collapsed="false">
      <c r="A71" s="288"/>
      <c r="B71" s="289"/>
      <c r="D71" s="290"/>
      <c r="I71" s="290"/>
      <c r="J71" s="292" t="n">
        <f aca="false">SUM(K64:K70)</f>
        <v>6720.89</v>
      </c>
      <c r="K71" s="38"/>
      <c r="M71" s="39"/>
      <c r="N71" s="39"/>
      <c r="O71" s="39"/>
      <c r="P71" s="39"/>
    </row>
    <row r="72" customFormat="false" ht="24.75" hidden="false" customHeight="true" outlineLevel="0" collapsed="false">
      <c r="A72" s="288" t="n">
        <v>32</v>
      </c>
      <c r="B72" s="289" t="s">
        <v>126</v>
      </c>
      <c r="D72" s="293" t="s">
        <v>276</v>
      </c>
      <c r="E72" s="293"/>
      <c r="F72" s="293"/>
      <c r="G72" s="293"/>
      <c r="I72" s="290" t="s">
        <v>277</v>
      </c>
      <c r="J72" s="289" t="n">
        <v>27317655</v>
      </c>
      <c r="K72" s="291" t="n">
        <v>906.47</v>
      </c>
      <c r="L72" s="39" t="n">
        <f aca="false">+K72*0.15</f>
        <v>135.9705</v>
      </c>
      <c r="M72" s="39" t="n">
        <f aca="false">+K72+L72</f>
        <v>1042.4405</v>
      </c>
      <c r="N72" s="39"/>
      <c r="O72" s="39"/>
      <c r="P72" s="39"/>
    </row>
    <row r="73" customFormat="false" ht="13.2" hidden="false" customHeight="false" outlineLevel="0" collapsed="false">
      <c r="A73" s="288" t="n">
        <v>33</v>
      </c>
      <c r="B73" s="289" t="s">
        <v>126</v>
      </c>
      <c r="D73" s="290" t="s">
        <v>249</v>
      </c>
      <c r="I73" s="290" t="s">
        <v>278</v>
      </c>
      <c r="J73" s="289" t="s">
        <v>279</v>
      </c>
      <c r="K73" s="291" t="n">
        <v>42.57</v>
      </c>
      <c r="L73" s="39" t="n">
        <f aca="false">+K73*0.15</f>
        <v>6.3855</v>
      </c>
      <c r="M73" s="39" t="n">
        <f aca="false">+K73+L73</f>
        <v>48.9555</v>
      </c>
      <c r="N73" s="39"/>
      <c r="O73" s="39"/>
      <c r="P73" s="39"/>
    </row>
    <row r="74" customFormat="false" ht="13.2" hidden="false" customHeight="false" outlineLevel="0" collapsed="false">
      <c r="A74" s="288" t="n">
        <v>34</v>
      </c>
      <c r="B74" s="289" t="s">
        <v>126</v>
      </c>
      <c r="D74" s="290" t="s">
        <v>249</v>
      </c>
      <c r="I74" s="290" t="s">
        <v>278</v>
      </c>
      <c r="J74" s="289" t="s">
        <v>280</v>
      </c>
      <c r="K74" s="291" t="n">
        <v>29.66</v>
      </c>
      <c r="L74" s="39" t="n">
        <f aca="false">+K74*0.15</f>
        <v>4.449</v>
      </c>
      <c r="M74" s="39" t="n">
        <f aca="false">+K74+L74</f>
        <v>34.109</v>
      </c>
      <c r="N74" s="39"/>
      <c r="O74" s="39"/>
      <c r="P74" s="39"/>
    </row>
    <row r="75" customFormat="false" ht="13.2" hidden="false" customHeight="false" outlineLevel="0" collapsed="false">
      <c r="A75" s="288" t="n">
        <v>35</v>
      </c>
      <c r="B75" s="289" t="s">
        <v>126</v>
      </c>
      <c r="D75" s="290" t="s">
        <v>249</v>
      </c>
      <c r="I75" s="290" t="s">
        <v>281</v>
      </c>
      <c r="J75" s="289" t="s">
        <v>282</v>
      </c>
      <c r="K75" s="291" t="n">
        <v>47</v>
      </c>
      <c r="L75" s="39" t="n">
        <f aca="false">+K75*0.15</f>
        <v>7.05</v>
      </c>
      <c r="M75" s="39" t="n">
        <f aca="false">+K75+L75</f>
        <v>54.05</v>
      </c>
      <c r="N75" s="39"/>
      <c r="O75" s="39"/>
      <c r="P75" s="39"/>
    </row>
    <row r="76" customFormat="false" ht="13.2" hidden="false" customHeight="false" outlineLevel="0" collapsed="false">
      <c r="A76" s="288" t="n">
        <v>36</v>
      </c>
      <c r="B76" s="289" t="s">
        <v>126</v>
      </c>
      <c r="D76" s="290" t="s">
        <v>249</v>
      </c>
      <c r="I76" s="290" t="s">
        <v>281</v>
      </c>
      <c r="J76" s="289" t="s">
        <v>283</v>
      </c>
      <c r="K76" s="291" t="n">
        <v>103.2</v>
      </c>
      <c r="L76" s="39" t="n">
        <f aca="false">+K76*0.15</f>
        <v>15.48</v>
      </c>
      <c r="M76" s="39" t="n">
        <f aca="false">+K76+L76</f>
        <v>118.68</v>
      </c>
      <c r="N76" s="39"/>
      <c r="O76" s="39"/>
      <c r="P76" s="39"/>
    </row>
    <row r="77" customFormat="false" ht="13.2" hidden="false" customHeight="false" outlineLevel="0" collapsed="false">
      <c r="A77" s="288" t="n">
        <v>37</v>
      </c>
      <c r="B77" s="289" t="s">
        <v>126</v>
      </c>
      <c r="D77" s="290" t="s">
        <v>265</v>
      </c>
      <c r="I77" s="290" t="s">
        <v>281</v>
      </c>
      <c r="J77" s="289" t="s">
        <v>284</v>
      </c>
      <c r="K77" s="291" t="n">
        <v>-43.23</v>
      </c>
      <c r="L77" s="39" t="n">
        <f aca="false">+K77*0.15</f>
        <v>-6.4845</v>
      </c>
      <c r="M77" s="39" t="n">
        <f aca="false">+K77+L77</f>
        <v>-49.7145</v>
      </c>
      <c r="N77" s="39"/>
      <c r="O77" s="39"/>
      <c r="P77" s="39"/>
    </row>
    <row r="78" customFormat="false" ht="13.2" hidden="false" customHeight="false" outlineLevel="0" collapsed="false">
      <c r="A78" s="288" t="n">
        <v>38</v>
      </c>
      <c r="B78" s="289" t="s">
        <v>126</v>
      </c>
      <c r="D78" s="290" t="s">
        <v>285</v>
      </c>
      <c r="I78" s="290" t="s">
        <v>286</v>
      </c>
      <c r="J78" s="289" t="n">
        <v>25226</v>
      </c>
      <c r="K78" s="291" t="n">
        <v>1550.13</v>
      </c>
      <c r="L78" s="39" t="n">
        <f aca="false">+K78*0.15</f>
        <v>232.5195</v>
      </c>
      <c r="M78" s="39" t="n">
        <f aca="false">+K78+L78</f>
        <v>1782.6495</v>
      </c>
      <c r="N78" s="39"/>
      <c r="O78" s="39"/>
      <c r="P78" s="39"/>
    </row>
    <row r="79" customFormat="false" ht="13.2" hidden="false" customHeight="false" outlineLevel="0" collapsed="false">
      <c r="A79" s="288" t="n">
        <v>39</v>
      </c>
      <c r="B79" s="289" t="s">
        <v>126</v>
      </c>
      <c r="D79" s="290" t="s">
        <v>287</v>
      </c>
      <c r="I79" s="290" t="s">
        <v>288</v>
      </c>
      <c r="J79" s="289" t="n">
        <v>147826</v>
      </c>
      <c r="K79" s="291" t="n">
        <v>629.26</v>
      </c>
      <c r="L79" s="39" t="n">
        <f aca="false">+K79*0.15</f>
        <v>94.389</v>
      </c>
      <c r="M79" s="39" t="n">
        <f aca="false">+K79+L79</f>
        <v>723.649</v>
      </c>
      <c r="N79" s="39"/>
      <c r="O79" s="39"/>
      <c r="P79" s="39"/>
    </row>
    <row r="80" customFormat="false" ht="13.2" hidden="false" customHeight="false" outlineLevel="0" collapsed="false">
      <c r="A80" s="288" t="n">
        <v>40</v>
      </c>
      <c r="B80" s="289" t="s">
        <v>126</v>
      </c>
      <c r="D80" s="290" t="s">
        <v>269</v>
      </c>
      <c r="I80" s="290" t="s">
        <v>289</v>
      </c>
      <c r="J80" s="289" t="n">
        <v>1014</v>
      </c>
      <c r="K80" s="291" t="n">
        <v>36.03</v>
      </c>
      <c r="L80" s="39" t="n">
        <f aca="false">+K80*0.15</f>
        <v>5.4045</v>
      </c>
      <c r="M80" s="39" t="n">
        <f aca="false">+K80+L80</f>
        <v>41.4345</v>
      </c>
      <c r="N80" s="39"/>
      <c r="O80" s="39"/>
      <c r="P80" s="39"/>
    </row>
    <row r="81" customFormat="false" ht="13.2" hidden="false" customHeight="false" outlineLevel="0" collapsed="false">
      <c r="A81" s="288" t="n">
        <v>41</v>
      </c>
      <c r="B81" s="289" t="s">
        <v>126</v>
      </c>
      <c r="D81" s="290" t="s">
        <v>269</v>
      </c>
      <c r="I81" s="290" t="s">
        <v>281</v>
      </c>
      <c r="J81" s="289" t="n">
        <v>52320</v>
      </c>
      <c r="K81" s="291" t="n">
        <v>36.78</v>
      </c>
      <c r="L81" s="39" t="n">
        <f aca="false">+K81*0.15</f>
        <v>5.517</v>
      </c>
      <c r="M81" s="39" t="n">
        <f aca="false">+K81+L81</f>
        <v>42.297</v>
      </c>
      <c r="N81" s="39"/>
      <c r="O81" s="39"/>
      <c r="P81" s="39"/>
    </row>
    <row r="82" customFormat="false" ht="13.2" hidden="false" customHeight="false" outlineLevel="0" collapsed="false">
      <c r="A82" s="288" t="n">
        <v>42</v>
      </c>
      <c r="B82" s="289" t="s">
        <v>126</v>
      </c>
      <c r="D82" s="290" t="s">
        <v>269</v>
      </c>
      <c r="I82" s="290" t="s">
        <v>290</v>
      </c>
      <c r="J82" s="289" t="n">
        <v>53961</v>
      </c>
      <c r="K82" s="291" t="n">
        <v>14.77</v>
      </c>
      <c r="L82" s="39" t="n">
        <f aca="false">+K82*0.15</f>
        <v>2.2155</v>
      </c>
      <c r="M82" s="39" t="n">
        <f aca="false">+K82+L82</f>
        <v>16.9855</v>
      </c>
      <c r="N82" s="39"/>
      <c r="O82" s="39"/>
      <c r="P82" s="39"/>
    </row>
    <row r="83" customFormat="false" ht="13.2" hidden="false" customHeight="false" outlineLevel="0" collapsed="false">
      <c r="A83" s="288" t="n">
        <v>43</v>
      </c>
      <c r="B83" s="289" t="s">
        <v>126</v>
      </c>
      <c r="D83" s="290" t="s">
        <v>269</v>
      </c>
      <c r="I83" s="290" t="s">
        <v>252</v>
      </c>
      <c r="J83" s="289" t="n">
        <v>54454</v>
      </c>
      <c r="K83" s="291" t="n">
        <v>140.75</v>
      </c>
      <c r="L83" s="39" t="n">
        <f aca="false">+K83*0.15</f>
        <v>21.1125</v>
      </c>
      <c r="M83" s="39" t="n">
        <f aca="false">+K83+L83</f>
        <v>161.8625</v>
      </c>
      <c r="N83" s="39"/>
      <c r="O83" s="39"/>
      <c r="P83" s="39"/>
    </row>
    <row r="84" customFormat="false" ht="13.2" hidden="false" customHeight="false" outlineLevel="0" collapsed="false">
      <c r="A84" s="288" t="n">
        <v>44</v>
      </c>
      <c r="B84" s="289" t="s">
        <v>126</v>
      </c>
      <c r="D84" s="290" t="s">
        <v>269</v>
      </c>
      <c r="I84" s="290" t="s">
        <v>281</v>
      </c>
      <c r="J84" s="289" t="n">
        <v>54511</v>
      </c>
      <c r="K84" s="291" t="n">
        <v>14.15</v>
      </c>
      <c r="L84" s="39" t="n">
        <f aca="false">+K84*0.15</f>
        <v>2.1225</v>
      </c>
      <c r="M84" s="39" t="n">
        <f aca="false">+K84+L84</f>
        <v>16.2725</v>
      </c>
      <c r="N84" s="39"/>
      <c r="O84" s="39"/>
      <c r="P84" s="39"/>
    </row>
    <row r="85" customFormat="false" ht="13.2" hidden="false" customHeight="false" outlineLevel="0" collapsed="false">
      <c r="A85" s="288" t="n">
        <v>45</v>
      </c>
      <c r="B85" s="289" t="s">
        <v>126</v>
      </c>
      <c r="D85" s="290" t="s">
        <v>269</v>
      </c>
      <c r="I85" s="290" t="s">
        <v>252</v>
      </c>
      <c r="J85" s="289" t="n">
        <v>54563</v>
      </c>
      <c r="K85" s="291" t="n">
        <v>103.41</v>
      </c>
      <c r="L85" s="39" t="n">
        <f aca="false">+K85*0.15</f>
        <v>15.5115</v>
      </c>
      <c r="M85" s="39" t="n">
        <f aca="false">+K85+L85</f>
        <v>118.9215</v>
      </c>
      <c r="N85" s="39"/>
      <c r="O85" s="39"/>
      <c r="P85" s="39"/>
    </row>
    <row r="86" customFormat="false" ht="13.2" hidden="false" customHeight="false" outlineLevel="0" collapsed="false">
      <c r="A86" s="288" t="n">
        <v>46</v>
      </c>
      <c r="B86" s="289" t="s">
        <v>126</v>
      </c>
      <c r="D86" s="290" t="s">
        <v>270</v>
      </c>
      <c r="I86" s="290" t="s">
        <v>281</v>
      </c>
      <c r="J86" s="289" t="n">
        <v>37721810</v>
      </c>
      <c r="K86" s="291" t="n">
        <v>129.87</v>
      </c>
      <c r="L86" s="39" t="n">
        <f aca="false">+K86*0.15</f>
        <v>19.4805</v>
      </c>
      <c r="M86" s="39" t="n">
        <f aca="false">+K86+L86</f>
        <v>149.3505</v>
      </c>
      <c r="N86" s="39"/>
      <c r="O86" s="39"/>
      <c r="P86" s="39"/>
    </row>
    <row r="87" customFormat="false" ht="13.2" hidden="false" customHeight="false" outlineLevel="0" collapsed="false">
      <c r="A87" s="288" t="n">
        <v>47</v>
      </c>
      <c r="B87" s="289" t="s">
        <v>126</v>
      </c>
      <c r="D87" s="290" t="s">
        <v>270</v>
      </c>
      <c r="I87" s="290" t="s">
        <v>281</v>
      </c>
      <c r="J87" s="289" t="n">
        <v>37786920</v>
      </c>
      <c r="K87" s="291" t="n">
        <v>710.49</v>
      </c>
      <c r="L87" s="39" t="n">
        <f aca="false">+K87*0.15</f>
        <v>106.5735</v>
      </c>
      <c r="M87" s="39" t="n">
        <f aca="false">+K87+L87</f>
        <v>817.0635</v>
      </c>
      <c r="N87" s="39"/>
      <c r="O87" s="39"/>
      <c r="P87" s="39"/>
    </row>
    <row r="88" customFormat="false" ht="13.2" hidden="false" customHeight="false" outlineLevel="0" collapsed="false">
      <c r="A88" s="288" t="n">
        <v>48</v>
      </c>
      <c r="B88" s="289" t="s">
        <v>126</v>
      </c>
      <c r="D88" s="290" t="s">
        <v>270</v>
      </c>
      <c r="I88" s="290" t="s">
        <v>281</v>
      </c>
      <c r="J88" s="289" t="n">
        <v>37849170</v>
      </c>
      <c r="K88" s="291" t="n">
        <v>66.74</v>
      </c>
      <c r="L88" s="39" t="n">
        <f aca="false">+K88*0.15</f>
        <v>10.011</v>
      </c>
      <c r="M88" s="39" t="n">
        <f aca="false">+K88+L88</f>
        <v>76.751</v>
      </c>
      <c r="N88" s="39"/>
      <c r="O88" s="39"/>
      <c r="P88" s="39"/>
    </row>
    <row r="89" customFormat="false" ht="13.2" hidden="false" customHeight="false" outlineLevel="0" collapsed="false">
      <c r="A89" s="288" t="n">
        <v>49</v>
      </c>
      <c r="B89" s="289" t="s">
        <v>126</v>
      </c>
      <c r="D89" s="290" t="s">
        <v>270</v>
      </c>
      <c r="I89" s="290" t="s">
        <v>291</v>
      </c>
      <c r="J89" s="289" t="n">
        <v>64019725</v>
      </c>
      <c r="K89" s="291" t="n">
        <v>44.84</v>
      </c>
      <c r="L89" s="39" t="n">
        <f aca="false">+K89*0.15</f>
        <v>6.726</v>
      </c>
      <c r="M89" s="39" t="n">
        <f aca="false">+K89+L89</f>
        <v>51.566</v>
      </c>
      <c r="N89" s="39"/>
      <c r="O89" s="39"/>
      <c r="P89" s="39"/>
    </row>
    <row r="90" customFormat="false" ht="13.2" hidden="false" customHeight="false" outlineLevel="0" collapsed="false">
      <c r="A90" s="288" t="n">
        <v>50</v>
      </c>
      <c r="B90" s="289" t="s">
        <v>126</v>
      </c>
      <c r="D90" s="290" t="s">
        <v>292</v>
      </c>
      <c r="I90" s="290" t="s">
        <v>293</v>
      </c>
      <c r="J90" s="289" t="n">
        <v>7498</v>
      </c>
      <c r="K90" s="291" t="n">
        <v>4921.95</v>
      </c>
      <c r="L90" s="39" t="n">
        <f aca="false">+K90*0.15</f>
        <v>738.2925</v>
      </c>
      <c r="M90" s="39" t="n">
        <f aca="false">+K90+L90</f>
        <v>5660.2425</v>
      </c>
      <c r="N90" s="39"/>
      <c r="O90" s="39"/>
      <c r="P90" s="39"/>
    </row>
    <row r="91" customFormat="false" ht="13.2" hidden="false" customHeight="false" outlineLevel="0" collapsed="false">
      <c r="A91" s="288"/>
      <c r="B91" s="289"/>
      <c r="D91" s="290"/>
      <c r="I91" s="290"/>
      <c r="J91" s="292" t="n">
        <f aca="false">SUM(K72:K90)</f>
        <v>9484.84</v>
      </c>
      <c r="K91" s="38"/>
      <c r="M91" s="39"/>
      <c r="N91" s="39"/>
      <c r="O91" s="39"/>
      <c r="P91" s="39"/>
    </row>
    <row r="92" customFormat="false" ht="13.2" hidden="false" customHeight="false" outlineLevel="0" collapsed="false">
      <c r="A92" s="288"/>
      <c r="B92" s="289"/>
      <c r="D92" s="290"/>
      <c r="I92" s="290"/>
      <c r="J92" s="290"/>
      <c r="K92" s="38"/>
      <c r="M92" s="39"/>
      <c r="N92" s="39"/>
      <c r="O92" s="39"/>
      <c r="P92" s="39"/>
    </row>
    <row r="93" customFormat="false" ht="13.2" hidden="false" customHeight="false" outlineLevel="0" collapsed="false">
      <c r="A93" s="284" t="s">
        <v>240</v>
      </c>
      <c r="B93" s="284" t="s">
        <v>241</v>
      </c>
      <c r="D93" s="284" t="s">
        <v>242</v>
      </c>
      <c r="I93" s="284" t="s">
        <v>243</v>
      </c>
      <c r="J93" s="285" t="s">
        <v>244</v>
      </c>
      <c r="K93" s="286" t="s">
        <v>245</v>
      </c>
      <c r="L93" s="287" t="s">
        <v>246</v>
      </c>
      <c r="M93" s="287" t="s">
        <v>247</v>
      </c>
      <c r="N93" s="287" t="s">
        <v>248</v>
      </c>
      <c r="O93" s="39"/>
      <c r="P93" s="39"/>
    </row>
    <row r="94" customFormat="false" ht="13.2" hidden="false" customHeight="false" outlineLevel="0" collapsed="false">
      <c r="A94" s="288" t="n">
        <v>51</v>
      </c>
      <c r="B94" s="289" t="s">
        <v>294</v>
      </c>
      <c r="D94" s="290" t="s">
        <v>295</v>
      </c>
      <c r="K94" s="38"/>
      <c r="L94" s="38"/>
      <c r="O94" s="39"/>
      <c r="P94" s="39"/>
    </row>
    <row r="95" customFormat="false" ht="13.2" hidden="false" customHeight="false" outlineLevel="0" collapsed="false">
      <c r="A95" s="288"/>
      <c r="B95" s="289"/>
      <c r="D95" s="290"/>
      <c r="I95" s="290" t="s">
        <v>296</v>
      </c>
      <c r="J95" s="289" t="n">
        <v>712</v>
      </c>
      <c r="K95" s="291" t="n">
        <v>26541.73</v>
      </c>
      <c r="L95" s="39" t="n">
        <f aca="false">+K95*0.15</f>
        <v>3981.2595</v>
      </c>
      <c r="M95" s="39" t="n">
        <f aca="false">+K95+L95</f>
        <v>30522.9895</v>
      </c>
      <c r="N95" s="39" t="n">
        <f aca="false">+M95*-0.5</f>
        <v>-15261.49475</v>
      </c>
      <c r="O95" s="39"/>
      <c r="P95" s="39"/>
    </row>
    <row r="96" customFormat="false" ht="13.2" hidden="false" customHeight="false" outlineLevel="0" collapsed="false">
      <c r="A96" s="288"/>
      <c r="B96" s="289"/>
      <c r="D96" s="294" t="s">
        <v>297</v>
      </c>
      <c r="I96" s="290"/>
      <c r="J96" s="289"/>
      <c r="K96" s="291"/>
      <c r="M96" s="39"/>
      <c r="N96" s="39"/>
      <c r="O96" s="39"/>
      <c r="P96" s="39"/>
    </row>
    <row r="97" customFormat="false" ht="13.2" hidden="false" customHeight="false" outlineLevel="0" collapsed="false">
      <c r="A97" s="288" t="n">
        <v>52</v>
      </c>
      <c r="B97" s="289" t="s">
        <v>294</v>
      </c>
      <c r="D97" s="290" t="s">
        <v>298</v>
      </c>
      <c r="K97" s="38"/>
      <c r="L97" s="38"/>
      <c r="O97" s="39"/>
      <c r="P97" s="39"/>
    </row>
    <row r="98" customFormat="false" ht="13.2" hidden="false" customHeight="false" outlineLevel="0" collapsed="false">
      <c r="A98" s="288"/>
      <c r="B98" s="289"/>
      <c r="D98" s="290"/>
      <c r="I98" s="295" t="s">
        <v>299</v>
      </c>
      <c r="J98" s="289" t="n">
        <v>886</v>
      </c>
      <c r="K98" s="291" t="n">
        <v>66541.71</v>
      </c>
      <c r="L98" s="39" t="n">
        <f aca="false">+K98*0.15</f>
        <v>9981.2565</v>
      </c>
      <c r="M98" s="39" t="n">
        <f aca="false">+K98+L98</f>
        <v>76522.9665</v>
      </c>
      <c r="N98" s="39" t="n">
        <f aca="false">-M98</f>
        <v>-76522.9665</v>
      </c>
      <c r="O98" s="39"/>
      <c r="P98" s="39"/>
    </row>
    <row r="99" customFormat="false" ht="13.2" hidden="false" customHeight="false" outlineLevel="0" collapsed="false">
      <c r="A99" s="288"/>
      <c r="B99" s="289"/>
      <c r="D99" s="294" t="s">
        <v>300</v>
      </c>
      <c r="I99" s="290"/>
      <c r="J99" s="289"/>
      <c r="K99" s="291"/>
      <c r="M99" s="39"/>
      <c r="N99" s="39"/>
      <c r="O99" s="39"/>
      <c r="P99" s="39"/>
    </row>
    <row r="100" customFormat="false" ht="13.2" hidden="false" customHeight="false" outlineLevel="0" collapsed="false">
      <c r="A100" s="288" t="n">
        <v>53</v>
      </c>
      <c r="B100" s="289" t="s">
        <v>294</v>
      </c>
      <c r="D100" s="290" t="s">
        <v>298</v>
      </c>
      <c r="K100" s="38"/>
      <c r="L100" s="38"/>
      <c r="O100" s="39"/>
      <c r="P100" s="39"/>
    </row>
    <row r="101" customFormat="false" ht="13.2" hidden="false" customHeight="false" outlineLevel="0" collapsed="false">
      <c r="A101" s="288"/>
      <c r="B101" s="289"/>
      <c r="D101" s="290"/>
      <c r="I101" s="295" t="s">
        <v>299</v>
      </c>
      <c r="J101" s="289" t="n">
        <v>887</v>
      </c>
      <c r="K101" s="291" t="n">
        <v>38839.69</v>
      </c>
      <c r="L101" s="39" t="n">
        <f aca="false">+K101*0.15</f>
        <v>5825.9535</v>
      </c>
      <c r="M101" s="39" t="n">
        <f aca="false">+K101+L101</f>
        <v>44665.6435</v>
      </c>
      <c r="N101" s="39" t="n">
        <f aca="false">-M101</f>
        <v>-44665.6435</v>
      </c>
      <c r="O101" s="39"/>
      <c r="P101" s="39"/>
    </row>
    <row r="102" customFormat="false" ht="13.2" hidden="false" customHeight="false" outlineLevel="0" collapsed="false">
      <c r="A102" s="288"/>
      <c r="B102" s="289"/>
      <c r="D102" s="294" t="s">
        <v>300</v>
      </c>
      <c r="I102" s="290"/>
      <c r="J102" s="289"/>
      <c r="K102" s="291"/>
      <c r="M102" s="39"/>
      <c r="N102" s="39"/>
      <c r="O102" s="39"/>
      <c r="P102" s="39"/>
    </row>
    <row r="103" customFormat="false" ht="13.2" hidden="false" customHeight="false" outlineLevel="0" collapsed="false">
      <c r="A103" s="288" t="n">
        <v>54</v>
      </c>
      <c r="B103" s="289" t="s">
        <v>294</v>
      </c>
      <c r="D103" s="290" t="s">
        <v>301</v>
      </c>
      <c r="K103" s="38"/>
      <c r="L103" s="38"/>
      <c r="O103" s="39"/>
      <c r="P103" s="39"/>
    </row>
    <row r="104" customFormat="false" ht="13.2" hidden="false" customHeight="false" outlineLevel="0" collapsed="false">
      <c r="A104" s="288"/>
      <c r="B104" s="289"/>
      <c r="D104" s="290"/>
      <c r="I104" s="295" t="s">
        <v>302</v>
      </c>
      <c r="J104" s="289" t="n">
        <v>802</v>
      </c>
      <c r="K104" s="291" t="n">
        <v>1970</v>
      </c>
      <c r="L104" s="39" t="n">
        <f aca="false">+K104*0.15</f>
        <v>295.5</v>
      </c>
      <c r="M104" s="39" t="n">
        <f aca="false">+K104+L104</f>
        <v>2265.5</v>
      </c>
      <c r="N104" s="39" t="n">
        <f aca="false">-M104</f>
        <v>-2265.5</v>
      </c>
      <c r="O104" s="39"/>
      <c r="P104" s="39"/>
    </row>
    <row r="105" customFormat="false" ht="13.2" hidden="false" customHeight="false" outlineLevel="0" collapsed="false">
      <c r="A105" s="288"/>
      <c r="B105" s="289"/>
      <c r="D105" s="294" t="s">
        <v>303</v>
      </c>
      <c r="I105" s="290"/>
      <c r="J105" s="289"/>
      <c r="K105" s="291"/>
      <c r="M105" s="39"/>
      <c r="N105" s="39"/>
      <c r="O105" s="39"/>
      <c r="P105" s="39"/>
    </row>
    <row r="106" customFormat="false" ht="13.2" hidden="false" customHeight="false" outlineLevel="0" collapsed="false">
      <c r="A106" s="288" t="n">
        <v>55</v>
      </c>
      <c r="B106" s="289" t="s">
        <v>294</v>
      </c>
      <c r="D106" s="290" t="s">
        <v>304</v>
      </c>
      <c r="K106" s="38"/>
      <c r="L106" s="38"/>
      <c r="O106" s="39"/>
      <c r="P106" s="39"/>
    </row>
    <row r="107" customFormat="false" ht="13.2" hidden="false" customHeight="false" outlineLevel="0" collapsed="false">
      <c r="A107" s="288"/>
      <c r="B107" s="289"/>
      <c r="D107" s="290"/>
      <c r="I107" s="295" t="s">
        <v>305</v>
      </c>
      <c r="J107" s="289" t="n">
        <v>2088</v>
      </c>
      <c r="K107" s="291" t="n">
        <v>21098.54</v>
      </c>
      <c r="L107" s="39" t="n">
        <f aca="false">+K107*0.15</f>
        <v>3164.781</v>
      </c>
      <c r="M107" s="39" t="n">
        <f aca="false">+K107+L107</f>
        <v>24263.321</v>
      </c>
      <c r="N107" s="39"/>
      <c r="O107" s="39"/>
      <c r="P107" s="39"/>
    </row>
    <row r="108" customFormat="false" ht="13.2" hidden="false" customHeight="false" outlineLevel="0" collapsed="false">
      <c r="A108" s="288"/>
      <c r="B108" s="289"/>
      <c r="D108" s="290"/>
      <c r="I108" s="290"/>
      <c r="J108" s="289"/>
      <c r="K108" s="291"/>
      <c r="M108" s="39"/>
      <c r="N108" s="52"/>
      <c r="O108" s="39"/>
      <c r="P108" s="39"/>
    </row>
    <row r="109" customFormat="false" ht="13.2" hidden="false" customHeight="false" outlineLevel="0" collapsed="false">
      <c r="A109" s="288"/>
      <c r="B109" s="289"/>
      <c r="D109" s="290"/>
      <c r="I109" s="290"/>
      <c r="J109" s="292" t="n">
        <f aca="false">SUM(K95:K107)</f>
        <v>154991.67</v>
      </c>
      <c r="K109" s="38"/>
      <c r="M109" s="39"/>
      <c r="N109" s="39" t="n">
        <f aca="false">SUM(N95:N105)</f>
        <v>-138715.60475</v>
      </c>
      <c r="O109" s="39"/>
      <c r="P109" s="39"/>
    </row>
    <row r="110" customFormat="false" ht="13.2" hidden="false" customHeight="false" outlineLevel="0" collapsed="false">
      <c r="A110" s="288" t="n">
        <v>56</v>
      </c>
      <c r="B110" s="289" t="s">
        <v>127</v>
      </c>
      <c r="D110" s="290" t="s">
        <v>306</v>
      </c>
      <c r="K110" s="38"/>
      <c r="L110" s="38"/>
      <c r="N110" s="39"/>
      <c r="O110" s="39"/>
      <c r="P110" s="39"/>
    </row>
    <row r="111" customFormat="false" ht="13.2" hidden="false" customHeight="false" outlineLevel="0" collapsed="false">
      <c r="A111" s="288"/>
      <c r="B111" s="289"/>
      <c r="D111" s="290"/>
      <c r="I111" s="290" t="s">
        <v>307</v>
      </c>
      <c r="J111" s="289" t="s">
        <v>308</v>
      </c>
      <c r="K111" s="291" t="n">
        <v>708.2</v>
      </c>
      <c r="L111" s="39" t="n">
        <f aca="false">+K111*0.15</f>
        <v>106.23</v>
      </c>
      <c r="M111" s="39" t="n">
        <f aca="false">+K111+L111</f>
        <v>814.43</v>
      </c>
      <c r="N111" s="39" t="n">
        <f aca="false">-M111</f>
        <v>-814.43</v>
      </c>
      <c r="O111" s="39"/>
      <c r="P111" s="39"/>
    </row>
    <row r="112" customFormat="false" ht="13.2" hidden="false" customHeight="false" outlineLevel="0" collapsed="false">
      <c r="A112" s="288"/>
      <c r="B112" s="289"/>
      <c r="D112" s="294" t="s">
        <v>309</v>
      </c>
      <c r="I112" s="290"/>
      <c r="J112" s="289"/>
      <c r="K112" s="291"/>
      <c r="M112" s="39"/>
      <c r="N112" s="39"/>
      <c r="O112" s="39"/>
      <c r="P112" s="39"/>
    </row>
    <row r="113" customFormat="false" ht="13.2" hidden="false" customHeight="false" outlineLevel="0" collapsed="false">
      <c r="A113" s="288" t="n">
        <v>57</v>
      </c>
      <c r="B113" s="289" t="s">
        <v>127</v>
      </c>
      <c r="D113" s="290" t="s">
        <v>306</v>
      </c>
      <c r="K113" s="38"/>
      <c r="L113" s="38"/>
      <c r="N113" s="39"/>
      <c r="O113" s="39"/>
      <c r="P113" s="39"/>
    </row>
    <row r="114" customFormat="false" ht="13.2" hidden="false" customHeight="false" outlineLevel="0" collapsed="false">
      <c r="A114" s="288"/>
      <c r="B114" s="289"/>
      <c r="D114" s="290"/>
      <c r="I114" s="290" t="s">
        <v>307</v>
      </c>
      <c r="J114" s="289" t="s">
        <v>310</v>
      </c>
      <c r="K114" s="291" t="n">
        <v>480</v>
      </c>
      <c r="L114" s="39" t="n">
        <f aca="false">+K114*0.15</f>
        <v>72</v>
      </c>
      <c r="M114" s="39" t="n">
        <f aca="false">+K114+L114</f>
        <v>552</v>
      </c>
      <c r="N114" s="39" t="n">
        <f aca="false">-M114</f>
        <v>-552</v>
      </c>
      <c r="O114" s="39"/>
      <c r="P114" s="39"/>
    </row>
    <row r="115" customFormat="false" ht="13.2" hidden="false" customHeight="false" outlineLevel="0" collapsed="false">
      <c r="A115" s="288"/>
      <c r="B115" s="289"/>
      <c r="D115" s="294" t="s">
        <v>309</v>
      </c>
      <c r="I115" s="290"/>
      <c r="J115" s="289"/>
      <c r="K115" s="291"/>
      <c r="M115" s="39"/>
      <c r="N115" s="39"/>
      <c r="O115" s="39"/>
      <c r="P115" s="39"/>
    </row>
    <row r="116" customFormat="false" ht="13.2" hidden="false" customHeight="false" outlineLevel="0" collapsed="false">
      <c r="A116" s="288" t="n">
        <v>58</v>
      </c>
      <c r="B116" s="289" t="s">
        <v>127</v>
      </c>
      <c r="D116" s="290" t="s">
        <v>306</v>
      </c>
      <c r="I116" s="290" t="s">
        <v>307</v>
      </c>
      <c r="J116" s="289" t="s">
        <v>311</v>
      </c>
      <c r="K116" s="286" t="n">
        <v>360</v>
      </c>
      <c r="L116" s="77" t="n">
        <f aca="false">+K116*0.15</f>
        <v>54</v>
      </c>
      <c r="M116" s="77" t="n">
        <f aca="false">+K116+L116</f>
        <v>414</v>
      </c>
      <c r="N116" s="52"/>
      <c r="O116" s="39"/>
      <c r="P116" s="39"/>
    </row>
    <row r="117" customFormat="false" ht="13.2" hidden="false" customHeight="false" outlineLevel="0" collapsed="false">
      <c r="A117" s="288"/>
      <c r="B117" s="289"/>
      <c r="D117" s="290"/>
      <c r="I117" s="290"/>
      <c r="J117" s="289"/>
      <c r="K117" s="286"/>
      <c r="L117" s="77"/>
      <c r="M117" s="77"/>
      <c r="N117" s="98" t="n">
        <f aca="false">SUM(N111:N116)</f>
        <v>-1366.43</v>
      </c>
      <c r="O117" s="39"/>
      <c r="P117" s="39"/>
    </row>
    <row r="118" customFormat="false" ht="13.2" hidden="false" customHeight="false" outlineLevel="0" collapsed="false">
      <c r="A118" s="0"/>
      <c r="B118" s="290" t="s">
        <v>312</v>
      </c>
      <c r="C118" s="0"/>
      <c r="D118" s="0"/>
      <c r="E118" s="0"/>
      <c r="F118" s="0"/>
      <c r="J118" s="40"/>
      <c r="K118" s="39" t="n">
        <f aca="false">SUM(K39:K116)</f>
        <v>174926.9</v>
      </c>
      <c r="L118" s="39" t="n">
        <f aca="false">SUM(L39:L116)</f>
        <v>26239.035</v>
      </c>
      <c r="M118" s="39" t="n">
        <f aca="false">SUM(M39:M116)</f>
        <v>201165.935</v>
      </c>
      <c r="N118" s="39" t="n">
        <f aca="false">+N109+N117</f>
        <v>-140082.03475</v>
      </c>
      <c r="O118" s="39"/>
      <c r="P118" s="39"/>
    </row>
    <row r="119" customFormat="false" ht="13.2" hidden="false" customHeight="false" outlineLevel="0" collapsed="false">
      <c r="A119" s="0"/>
      <c r="C119" s="0"/>
      <c r="D119" s="0"/>
      <c r="E119" s="0"/>
      <c r="F119" s="0"/>
      <c r="J119" s="296" t="n">
        <f aca="false">SUM(K111:K116)</f>
        <v>1548.2</v>
      </c>
      <c r="K119" s="38"/>
      <c r="M119" s="39"/>
      <c r="N119" s="39"/>
      <c r="O119" s="39"/>
      <c r="P119" s="39"/>
    </row>
    <row r="120" customFormat="false" ht="13.2" hidden="false" customHeight="false" outlineLevel="0" collapsed="false">
      <c r="A120" s="0"/>
      <c r="B120" s="0"/>
      <c r="C120" s="0"/>
      <c r="D120" s="0"/>
      <c r="E120" s="0"/>
      <c r="F120" s="0"/>
      <c r="J120" s="40"/>
      <c r="M120" s="39"/>
      <c r="N120" s="39"/>
      <c r="O120" s="39"/>
      <c r="P120" s="39"/>
    </row>
    <row r="121" customFormat="false" ht="13.2" hidden="false" customHeight="false" outlineLevel="0" collapsed="false">
      <c r="A121" s="0"/>
      <c r="B121" s="290" t="s">
        <v>124</v>
      </c>
      <c r="C121" s="0"/>
      <c r="D121" s="0"/>
      <c r="E121" s="0"/>
      <c r="F121" s="0"/>
      <c r="K121" s="39" t="n">
        <f aca="false">+J63</f>
        <v>2181.3</v>
      </c>
      <c r="L121" s="39" t="n">
        <f aca="false">+K121*0.15</f>
        <v>327.195</v>
      </c>
      <c r="M121" s="39" t="n">
        <f aca="false">+K121+L121</f>
        <v>2508.495</v>
      </c>
      <c r="N121" s="39"/>
      <c r="O121" s="39"/>
      <c r="P121" s="39"/>
    </row>
    <row r="122" customFormat="false" ht="13.2" hidden="false" customHeight="false" outlineLevel="0" collapsed="false">
      <c r="A122" s="0"/>
      <c r="B122" s="290" t="s">
        <v>125</v>
      </c>
      <c r="C122" s="0"/>
      <c r="D122" s="0"/>
      <c r="E122" s="0"/>
      <c r="F122" s="0"/>
      <c r="K122" s="39" t="n">
        <f aca="false">+J71</f>
        <v>6720.89</v>
      </c>
      <c r="L122" s="39" t="n">
        <f aca="false">+K122*0.15</f>
        <v>1008.1335</v>
      </c>
      <c r="M122" s="39" t="n">
        <f aca="false">+K122+L122</f>
        <v>7729.0235</v>
      </c>
      <c r="N122" s="39"/>
      <c r="O122" s="39"/>
      <c r="P122" s="39"/>
    </row>
    <row r="123" customFormat="false" ht="13.2" hidden="false" customHeight="false" outlineLevel="0" collapsed="false">
      <c r="A123" s="0"/>
      <c r="B123" s="290" t="s">
        <v>126</v>
      </c>
      <c r="C123" s="0"/>
      <c r="D123" s="0"/>
      <c r="E123" s="0"/>
      <c r="F123" s="0"/>
      <c r="K123" s="39" t="n">
        <f aca="false">+J91</f>
        <v>9484.84</v>
      </c>
      <c r="L123" s="39" t="n">
        <f aca="false">+K123*0.15</f>
        <v>1422.726</v>
      </c>
      <c r="M123" s="39" t="n">
        <f aca="false">+K123+L123</f>
        <v>10907.566</v>
      </c>
      <c r="N123" s="39"/>
      <c r="O123" s="39"/>
      <c r="P123" s="39"/>
    </row>
    <row r="124" customFormat="false" ht="13.2" hidden="false" customHeight="false" outlineLevel="0" collapsed="false">
      <c r="A124" s="0"/>
      <c r="B124" s="290" t="s">
        <v>294</v>
      </c>
      <c r="C124" s="290"/>
      <c r="D124" s="0"/>
      <c r="E124" s="0"/>
      <c r="F124" s="0"/>
      <c r="K124" s="39" t="n">
        <f aca="false">+J109</f>
        <v>154991.67</v>
      </c>
      <c r="L124" s="39" t="n">
        <f aca="false">+K124*0.15</f>
        <v>23248.7505</v>
      </c>
      <c r="M124" s="39" t="n">
        <f aca="false">+K124+L124</f>
        <v>178240.4205</v>
      </c>
      <c r="N124" s="39"/>
      <c r="O124" s="39"/>
      <c r="P124" s="39"/>
    </row>
    <row r="125" customFormat="false" ht="13.2" hidden="false" customHeight="false" outlineLevel="0" collapsed="false">
      <c r="A125" s="0"/>
      <c r="B125" s="290" t="s">
        <v>127</v>
      </c>
      <c r="C125" s="290"/>
      <c r="D125" s="0"/>
      <c r="E125" s="0"/>
      <c r="F125" s="0"/>
      <c r="K125" s="77" t="n">
        <f aca="false">+J119</f>
        <v>1548.2</v>
      </c>
      <c r="L125" s="77" t="n">
        <f aca="false">+K125*0.15</f>
        <v>232.23</v>
      </c>
      <c r="M125" s="77" t="n">
        <f aca="false">+K125+L125</f>
        <v>1780.43</v>
      </c>
      <c r="N125" s="39"/>
      <c r="O125" s="39"/>
      <c r="P125" s="39"/>
    </row>
    <row r="126" customFormat="false" ht="13.2" hidden="false" customHeight="false" outlineLevel="0" collapsed="false">
      <c r="M126" s="39"/>
      <c r="N126" s="39"/>
      <c r="O126" s="39"/>
      <c r="P126" s="39"/>
    </row>
    <row r="127" customFormat="false" ht="13.2" hidden="false" customHeight="false" outlineLevel="0" collapsed="false">
      <c r="B127" s="37" t="s">
        <v>18</v>
      </c>
      <c r="K127" s="39" t="n">
        <f aca="false">SUM(K121:K126)</f>
        <v>174926.9</v>
      </c>
      <c r="L127" s="39" t="n">
        <f aca="false">SUM(L121:L126)</f>
        <v>26239.035</v>
      </c>
      <c r="M127" s="39" t="n">
        <f aca="false">SUM(M121:M126)</f>
        <v>201165.935</v>
      </c>
      <c r="N127" s="39"/>
      <c r="O127" s="39"/>
      <c r="P127" s="39"/>
    </row>
    <row r="128" customFormat="false" ht="13.2" hidden="false" customHeight="false" outlineLevel="0" collapsed="false">
      <c r="M128" s="39"/>
      <c r="N128" s="39"/>
      <c r="O128" s="39"/>
      <c r="P128" s="39"/>
    </row>
    <row r="129" customFormat="false" ht="13.2" hidden="false" customHeight="false" outlineLevel="0" collapsed="false">
      <c r="M129" s="39"/>
      <c r="N129" s="39"/>
      <c r="O129" s="39"/>
      <c r="P129" s="39"/>
    </row>
    <row r="130" customFormat="false" ht="13.2" hidden="false" customHeight="false" outlineLevel="0" collapsed="false">
      <c r="M130" s="39"/>
      <c r="N130" s="39"/>
      <c r="O130" s="39"/>
      <c r="P130" s="39"/>
    </row>
    <row r="131" customFormat="false" ht="13.2" hidden="false" customHeight="false" outlineLevel="0" collapsed="false">
      <c r="M131" s="39"/>
      <c r="N131" s="39"/>
      <c r="O131" s="39"/>
      <c r="P131" s="39"/>
    </row>
    <row r="132" customFormat="false" ht="13.2" hidden="false" customHeight="false" outlineLevel="0" collapsed="false">
      <c r="M132" s="39"/>
      <c r="N132" s="39"/>
      <c r="O132" s="39"/>
      <c r="P132" s="39"/>
    </row>
    <row r="133" customFormat="false" ht="13.2" hidden="false" customHeight="false" outlineLevel="0" collapsed="false">
      <c r="M133" s="39"/>
      <c r="N133" s="39"/>
      <c r="O133" s="39"/>
      <c r="P133" s="39"/>
    </row>
    <row r="134" customFormat="false" ht="13.2" hidden="false" customHeight="false" outlineLevel="0" collapsed="false">
      <c r="M134" s="39"/>
      <c r="N134" s="39"/>
      <c r="O134" s="39"/>
      <c r="P134" s="39"/>
    </row>
    <row r="135" customFormat="false" ht="13.2" hidden="false" customHeight="false" outlineLevel="0" collapsed="false">
      <c r="M135" s="39"/>
      <c r="N135" s="39"/>
      <c r="O135" s="39"/>
      <c r="P135" s="39"/>
    </row>
    <row r="136" customFormat="false" ht="13.2" hidden="false" customHeight="false" outlineLevel="0" collapsed="false">
      <c r="M136" s="39"/>
      <c r="N136" s="39"/>
      <c r="O136" s="39"/>
      <c r="P136" s="39"/>
    </row>
    <row r="137" customFormat="false" ht="13.2" hidden="false" customHeight="false" outlineLevel="0" collapsed="false">
      <c r="M137" s="39"/>
      <c r="N137" s="39"/>
      <c r="O137" s="39"/>
      <c r="P137" s="39"/>
    </row>
    <row r="138" customFormat="false" ht="13.2" hidden="false" customHeight="false" outlineLevel="0" collapsed="false">
      <c r="M138" s="39"/>
      <c r="N138" s="39"/>
      <c r="O138" s="39"/>
      <c r="P138" s="39"/>
    </row>
    <row r="139" customFormat="false" ht="13.2" hidden="false" customHeight="false" outlineLevel="0" collapsed="false">
      <c r="M139" s="39"/>
      <c r="N139" s="39"/>
      <c r="O139" s="39"/>
      <c r="P139" s="39"/>
    </row>
    <row r="140" customFormat="false" ht="13.2" hidden="false" customHeight="false" outlineLevel="0" collapsed="false">
      <c r="M140" s="39"/>
      <c r="N140" s="39"/>
      <c r="O140" s="39"/>
      <c r="P140" s="39"/>
    </row>
    <row r="141" customFormat="false" ht="13.2" hidden="false" customHeight="false" outlineLevel="0" collapsed="false">
      <c r="M141" s="39"/>
      <c r="N141" s="39"/>
      <c r="O141" s="39"/>
      <c r="P141" s="39"/>
    </row>
    <row r="142" customFormat="false" ht="13.2" hidden="false" customHeight="false" outlineLevel="0" collapsed="false">
      <c r="M142" s="39"/>
      <c r="N142" s="39"/>
      <c r="O142" s="39"/>
      <c r="P142" s="39"/>
    </row>
    <row r="143" customFormat="false" ht="13.2" hidden="false" customHeight="false" outlineLevel="0" collapsed="false">
      <c r="M143" s="39"/>
      <c r="N143" s="39"/>
      <c r="O143" s="39"/>
      <c r="P143" s="39"/>
    </row>
    <row r="144" customFormat="false" ht="13.2" hidden="false" customHeight="false" outlineLevel="0" collapsed="false">
      <c r="M144" s="39"/>
      <c r="N144" s="39"/>
      <c r="O144" s="39"/>
      <c r="P144" s="39"/>
    </row>
    <row r="145" customFormat="false" ht="13.2" hidden="false" customHeight="false" outlineLevel="0" collapsed="false">
      <c r="M145" s="39"/>
      <c r="N145" s="39"/>
      <c r="O145" s="39"/>
      <c r="P145" s="39"/>
    </row>
    <row r="146" customFormat="false" ht="13.2" hidden="false" customHeight="false" outlineLevel="0" collapsed="false">
      <c r="M146" s="39"/>
      <c r="N146" s="39"/>
      <c r="O146" s="39"/>
      <c r="P146" s="39"/>
    </row>
    <row r="147" customFormat="false" ht="13.2" hidden="false" customHeight="false" outlineLevel="0" collapsed="false">
      <c r="M147" s="39"/>
      <c r="N147" s="39"/>
      <c r="O147" s="39"/>
      <c r="P147" s="39"/>
    </row>
    <row r="148" customFormat="false" ht="13.2" hidden="false" customHeight="false" outlineLevel="0" collapsed="false">
      <c r="M148" s="39"/>
      <c r="N148" s="39"/>
      <c r="O148" s="39"/>
      <c r="P148" s="39"/>
    </row>
    <row r="149" customFormat="false" ht="13.2" hidden="false" customHeight="false" outlineLevel="0" collapsed="false">
      <c r="M149" s="39"/>
      <c r="N149" s="39"/>
      <c r="O149" s="39"/>
      <c r="P149" s="39"/>
    </row>
    <row r="150" customFormat="false" ht="13.2" hidden="false" customHeight="false" outlineLevel="0" collapsed="false">
      <c r="M150" s="39"/>
      <c r="N150" s="39"/>
      <c r="O150" s="39"/>
      <c r="P150" s="39"/>
    </row>
  </sheetData>
  <mergeCells count="15">
    <mergeCell ref="L4:M4"/>
    <mergeCell ref="H6:I6"/>
    <mergeCell ref="B10:H10"/>
    <mergeCell ref="L10:M10"/>
    <mergeCell ref="L11:M11"/>
    <mergeCell ref="L12:M12"/>
    <mergeCell ref="L13:M13"/>
    <mergeCell ref="L19:M19"/>
    <mergeCell ref="C20:H20"/>
    <mergeCell ref="L20:M20"/>
    <mergeCell ref="L23:M23"/>
    <mergeCell ref="L29:M29"/>
    <mergeCell ref="L32:M32"/>
    <mergeCell ref="L34:M34"/>
    <mergeCell ref="D72:G72"/>
  </mergeCells>
  <printOptions headings="false" gridLines="false" gridLinesSet="true" horizontalCentered="false" verticalCentered="false"/>
  <pageMargins left="0.170138888888889" right="0.170138888888889" top="0.479861111111111" bottom="0.8" header="0.2" footer="0.25"/>
  <pageSetup paperSize="1" scale="100" fitToWidth="1" fitToHeight="1" pageOrder="downThenOver" orientation="portrait" blackAndWhite="false" draft="false" cellComments="none" horizontalDpi="300" verticalDpi="300" copies="1"/>
  <headerFooter differentFirst="false" differentOddEven="false">
    <oddHeader>&amp;L&amp;"Arial,Bold"&amp;12Doyle Power, LCC - Principal Insured&amp;RThru: &amp;D
Page &amp;P</oddHeader>
    <oddFooter>&amp;L&amp;F&amp;R&amp;A</oddFooter>
  </headerFooter>
  <rowBreaks count="1" manualBreakCount="1">
    <brk id="37"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73"/>
  <sheetViews>
    <sheetView showFormulas="false" showGridLines="true" showRowColHeaders="true" showZeros="true" rightToLeft="false" tabSelected="false" showOutlineSymbols="true" defaultGridColor="true" view="pageBreakPreview" topLeftCell="A1" colorId="64" zoomScale="75" zoomScaleNormal="75" zoomScalePageLayoutView="75" workbookViewId="0">
      <selection pane="topLeft" activeCell="C3" activeCellId="0" sqref="C3"/>
    </sheetView>
  </sheetViews>
  <sheetFormatPr defaultColWidth="10.328125" defaultRowHeight="13.2" customHeight="true" zeroHeight="false" outlineLevelRow="0" outlineLevelCol="0"/>
  <cols>
    <col collapsed="false" customWidth="true" hidden="false" outlineLevel="0" max="1" min="1" style="37" width="5.99"/>
    <col collapsed="false" customWidth="true" hidden="false" outlineLevel="0" max="2" min="2" style="37" width="3.66"/>
    <col collapsed="false" customWidth="true" hidden="false" outlineLevel="0" max="3" min="3" style="37" width="2.55"/>
    <col collapsed="false" customWidth="true" hidden="false" outlineLevel="0" max="4" min="4" style="37" width="2.66"/>
    <col collapsed="false" customWidth="true" hidden="false" outlineLevel="0" max="7" min="5" style="37" width="5.99"/>
    <col collapsed="false" customWidth="true" hidden="false" outlineLevel="0" max="8" min="8" style="38" width="2.43"/>
    <col collapsed="false" customWidth="true" hidden="false" outlineLevel="0" max="9" min="9" style="38" width="7.55"/>
    <col collapsed="false" customWidth="true" hidden="false" outlineLevel="0" max="10" min="10" style="38" width="12.99"/>
    <col collapsed="false" customWidth="true" hidden="false" outlineLevel="0" max="11" min="11" style="38" width="3.99"/>
    <col collapsed="false" customWidth="true" hidden="false" outlineLevel="0" max="13" min="12" style="38" width="5.66"/>
    <col collapsed="false" customWidth="true" hidden="false" outlineLevel="0" max="14" min="14" style="39" width="19.99"/>
    <col collapsed="false" customWidth="true" hidden="false" outlineLevel="0" max="15" min="15" style="39" width="18.33"/>
    <col collapsed="false" customWidth="true" hidden="false" outlineLevel="0" max="16" min="16" style="39" width="17.66"/>
    <col collapsed="false" customWidth="true" hidden="false" outlineLevel="0" max="17" min="17" style="38" width="18.1"/>
    <col collapsed="false" customWidth="false" hidden="false" outlineLevel="0" max="257" min="18" style="38" width="10.32"/>
  </cols>
  <sheetData>
    <row r="1" customFormat="false" ht="15.6" hidden="false" customHeight="false" outlineLevel="0" collapsed="false">
      <c r="C1" s="41" t="s">
        <v>99</v>
      </c>
      <c r="D1" s="41"/>
      <c r="E1" s="41"/>
      <c r="F1" s="41"/>
      <c r="G1" s="41"/>
      <c r="H1" s="41"/>
      <c r="J1" s="42" t="s">
        <v>313</v>
      </c>
    </row>
    <row r="2" customFormat="false" ht="13.2" hidden="false" customHeight="false" outlineLevel="0" collapsed="false">
      <c r="C2" s="38" t="s">
        <v>25</v>
      </c>
      <c r="D2" s="38"/>
      <c r="E2" s="38"/>
      <c r="F2" s="38"/>
      <c r="G2" s="38"/>
    </row>
    <row r="3" customFormat="false" ht="18.6" hidden="false" customHeight="true" outlineLevel="0" collapsed="false">
      <c r="A3" s="43" t="s">
        <v>6</v>
      </c>
      <c r="B3" s="43"/>
      <c r="C3" s="43" t="s">
        <v>26</v>
      </c>
      <c r="D3" s="43"/>
      <c r="E3" s="43"/>
      <c r="F3" s="43"/>
      <c r="G3" s="44"/>
      <c r="H3" s="44"/>
      <c r="I3" s="41"/>
      <c r="J3" s="41"/>
      <c r="K3" s="41"/>
      <c r="L3" s="41"/>
      <c r="M3" s="41"/>
      <c r="N3" s="45" t="s">
        <v>28</v>
      </c>
      <c r="O3" s="45" t="s">
        <v>29</v>
      </c>
      <c r="P3" s="45" t="s">
        <v>30</v>
      </c>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c r="IR3" s="41"/>
      <c r="IS3" s="41"/>
      <c r="IT3" s="41"/>
      <c r="IU3" s="41"/>
      <c r="IV3" s="41"/>
      <c r="IW3" s="41"/>
    </row>
    <row r="4" customFormat="false" ht="13.2" hidden="false" customHeight="false" outlineLevel="0" collapsed="false">
      <c r="A4" s="37" t="n">
        <v>2</v>
      </c>
      <c r="B4" s="37" t="s">
        <v>35</v>
      </c>
      <c r="E4" s="38"/>
      <c r="F4" s="38"/>
    </row>
    <row r="5" customFormat="false" ht="13.2" hidden="false" customHeight="false" outlineLevel="0" collapsed="false">
      <c r="C5" s="37" t="s">
        <v>314</v>
      </c>
      <c r="D5" s="38"/>
      <c r="F5" s="38"/>
      <c r="G5" s="37" t="s">
        <v>315</v>
      </c>
      <c r="N5" s="39" t="n">
        <v>859070.8</v>
      </c>
    </row>
    <row r="6" customFormat="false" ht="13.2" hidden="false" customHeight="false" outlineLevel="0" collapsed="false">
      <c r="C6" s="38"/>
      <c r="D6" s="38"/>
      <c r="F6" s="38"/>
      <c r="G6" s="261" t="s">
        <v>316</v>
      </c>
      <c r="O6" s="39" t="n">
        <f aca="false">+N5*-0.73</f>
        <v>-627121.684</v>
      </c>
      <c r="P6" s="39" t="n">
        <f aca="false">+N5+O6</f>
        <v>231949.116</v>
      </c>
    </row>
    <row r="7" customFormat="false" ht="13.2" hidden="false" customHeight="false" outlineLevel="0" collapsed="false">
      <c r="C7" s="37" t="s">
        <v>317</v>
      </c>
      <c r="D7" s="38"/>
      <c r="F7" s="38"/>
      <c r="G7" s="37" t="s">
        <v>318</v>
      </c>
      <c r="N7" s="39" t="n">
        <v>429388</v>
      </c>
      <c r="O7" s="39" t="n">
        <f aca="false">+N7*-0.73</f>
        <v>-313453.24</v>
      </c>
      <c r="P7" s="39" t="n">
        <f aca="false">+N7+O7</f>
        <v>115934.76</v>
      </c>
    </row>
    <row r="8" customFormat="false" ht="5.4" hidden="false" customHeight="true" outlineLevel="0" collapsed="false">
      <c r="E8" s="38"/>
      <c r="F8" s="38"/>
      <c r="N8" s="38"/>
    </row>
    <row r="9" customFormat="false" ht="13.2" hidden="false" customHeight="false" outlineLevel="0" collapsed="false">
      <c r="C9" s="37" t="s">
        <v>319</v>
      </c>
      <c r="E9" s="38"/>
      <c r="F9" s="38"/>
      <c r="G9" s="37" t="s">
        <v>320</v>
      </c>
      <c r="N9" s="39" t="n">
        <v>1286362.79</v>
      </c>
    </row>
    <row r="10" customFormat="false" ht="13.2" hidden="false" customHeight="false" outlineLevel="0" collapsed="false">
      <c r="E10" s="38"/>
      <c r="F10" s="38"/>
      <c r="G10" s="261" t="s">
        <v>321</v>
      </c>
    </row>
    <row r="11" customFormat="false" ht="13.2" hidden="false" customHeight="false" outlineLevel="0" collapsed="false">
      <c r="E11" s="38"/>
      <c r="F11" s="38"/>
      <c r="I11" s="38" t="s">
        <v>322</v>
      </c>
      <c r="J11" s="38" t="s">
        <v>323</v>
      </c>
    </row>
    <row r="12" customFormat="false" ht="13.2" hidden="false" customHeight="false" outlineLevel="0" collapsed="false">
      <c r="E12" s="59" t="s">
        <v>324</v>
      </c>
      <c r="F12" s="38" t="n">
        <v>1</v>
      </c>
      <c r="I12" s="38" t="n">
        <v>32</v>
      </c>
      <c r="J12" s="39" t="n">
        <f aca="false">1286362.79/17</f>
        <v>75668.3994117647</v>
      </c>
      <c r="O12" s="39" t="n">
        <f aca="false">-J12</f>
        <v>-75668.3994117647</v>
      </c>
    </row>
    <row r="13" customFormat="false" ht="13.2" hidden="false" customHeight="false" outlineLevel="0" collapsed="false">
      <c r="E13" s="59" t="s">
        <v>324</v>
      </c>
      <c r="F13" s="38" t="n">
        <v>2</v>
      </c>
      <c r="I13" s="38" t="n">
        <v>32</v>
      </c>
      <c r="J13" s="39" t="n">
        <f aca="false">1286362.79/17</f>
        <v>75668.3994117647</v>
      </c>
      <c r="O13" s="39" t="n">
        <f aca="false">-J13</f>
        <v>-75668.3994117647</v>
      </c>
    </row>
    <row r="14" customFormat="false" ht="13.2" hidden="false" customHeight="false" outlineLevel="0" collapsed="false">
      <c r="E14" s="59" t="s">
        <v>324</v>
      </c>
      <c r="F14" s="38" t="n">
        <v>3</v>
      </c>
      <c r="I14" s="38" t="n">
        <v>32</v>
      </c>
      <c r="J14" s="39" t="n">
        <f aca="false">1286362.79/17</f>
        <v>75668.3994117647</v>
      </c>
      <c r="O14" s="39" t="n">
        <f aca="false">-J14</f>
        <v>-75668.3994117647</v>
      </c>
    </row>
    <row r="15" customFormat="false" ht="13.2" hidden="false" customHeight="false" outlineLevel="0" collapsed="false">
      <c r="E15" s="59" t="s">
        <v>324</v>
      </c>
      <c r="F15" s="38" t="n">
        <v>4</v>
      </c>
      <c r="I15" s="38" t="n">
        <v>40</v>
      </c>
      <c r="J15" s="39" t="n">
        <f aca="false">1286362.79/17</f>
        <v>75668.3994117647</v>
      </c>
      <c r="O15" s="39" t="n">
        <f aca="false">-J15</f>
        <v>-75668.3994117647</v>
      </c>
    </row>
    <row r="16" customFormat="false" ht="13.2" hidden="false" customHeight="false" outlineLevel="0" collapsed="false">
      <c r="E16" s="59" t="s">
        <v>324</v>
      </c>
      <c r="F16" s="38" t="n">
        <v>5</v>
      </c>
      <c r="I16" s="38" t="n">
        <v>44</v>
      </c>
      <c r="J16" s="39" t="n">
        <f aca="false">1286362.79/17</f>
        <v>75668.3994117647</v>
      </c>
      <c r="O16" s="39" t="n">
        <f aca="false">-J16</f>
        <v>-75668.3994117647</v>
      </c>
    </row>
    <row r="17" customFormat="false" ht="13.2" hidden="false" customHeight="false" outlineLevel="0" collapsed="false">
      <c r="E17" s="59" t="s">
        <v>324</v>
      </c>
      <c r="F17" s="38" t="n">
        <v>6</v>
      </c>
      <c r="I17" s="38" t="n">
        <v>56</v>
      </c>
      <c r="J17" s="39" t="n">
        <f aca="false">1286362.79/17</f>
        <v>75668.3994117647</v>
      </c>
      <c r="O17" s="39" t="n">
        <f aca="false">-J17</f>
        <v>-75668.3994117647</v>
      </c>
    </row>
    <row r="18" customFormat="false" ht="13.2" hidden="false" customHeight="false" outlineLevel="0" collapsed="false">
      <c r="E18" s="59" t="s">
        <v>324</v>
      </c>
      <c r="F18" s="38" t="n">
        <v>7</v>
      </c>
      <c r="I18" s="38" t="n">
        <v>58</v>
      </c>
      <c r="J18" s="39" t="n">
        <f aca="false">1286362.79/17</f>
        <v>75668.3994117647</v>
      </c>
      <c r="O18" s="39" t="n">
        <f aca="false">-J18</f>
        <v>-75668.3994117647</v>
      </c>
    </row>
    <row r="19" customFormat="false" ht="13.2" hidden="false" customHeight="false" outlineLevel="0" collapsed="false">
      <c r="E19" s="59" t="s">
        <v>324</v>
      </c>
      <c r="F19" s="38" t="n">
        <v>8</v>
      </c>
      <c r="I19" s="38" t="n">
        <v>60</v>
      </c>
      <c r="J19" s="39" t="n">
        <f aca="false">1286362.79/17</f>
        <v>75668.3994117647</v>
      </c>
      <c r="O19" s="39" t="n">
        <f aca="false">-J19</f>
        <v>-75668.3994117647</v>
      </c>
    </row>
    <row r="20" customFormat="false" ht="13.2" hidden="false" customHeight="false" outlineLevel="0" collapsed="false">
      <c r="E20" s="59" t="s">
        <v>324</v>
      </c>
      <c r="F20" s="38" t="n">
        <v>9</v>
      </c>
      <c r="I20" s="38" t="n">
        <v>62</v>
      </c>
      <c r="J20" s="39" t="n">
        <f aca="false">1286362.79/17</f>
        <v>75668.3994117647</v>
      </c>
      <c r="O20" s="39" t="n">
        <f aca="false">-J20</f>
        <v>-75668.3994117647</v>
      </c>
    </row>
    <row r="21" customFormat="false" ht="13.2" hidden="false" customHeight="false" outlineLevel="0" collapsed="false">
      <c r="E21" s="59" t="s">
        <v>324</v>
      </c>
      <c r="F21" s="38" t="n">
        <v>10</v>
      </c>
      <c r="I21" s="38" t="n">
        <v>66</v>
      </c>
      <c r="J21" s="39" t="n">
        <f aca="false">1286362.79/17</f>
        <v>75668.3994117647</v>
      </c>
      <c r="O21" s="39" t="n">
        <f aca="false">-J21</f>
        <v>-75668.3994117647</v>
      </c>
    </row>
    <row r="22" customFormat="false" ht="13.2" hidden="false" customHeight="false" outlineLevel="0" collapsed="false">
      <c r="E22" s="59" t="s">
        <v>324</v>
      </c>
      <c r="F22" s="38" t="n">
        <v>11</v>
      </c>
      <c r="I22" s="38" t="n">
        <v>66</v>
      </c>
      <c r="J22" s="39" t="n">
        <f aca="false">1286362.79/17</f>
        <v>75668.3994117647</v>
      </c>
      <c r="O22" s="39" t="n">
        <f aca="false">-J22</f>
        <v>-75668.3994117647</v>
      </c>
    </row>
    <row r="23" customFormat="false" ht="13.2" hidden="false" customHeight="false" outlineLevel="0" collapsed="false">
      <c r="E23" s="59" t="s">
        <v>324</v>
      </c>
      <c r="F23" s="38" t="n">
        <v>12</v>
      </c>
      <c r="I23" s="38" t="n">
        <v>66</v>
      </c>
      <c r="J23" s="39" t="n">
        <f aca="false">1286362.79/17</f>
        <v>75668.3994117647</v>
      </c>
      <c r="O23" s="39" t="n">
        <f aca="false">-J23</f>
        <v>-75668.3994117647</v>
      </c>
    </row>
    <row r="24" customFormat="false" ht="13.2" hidden="false" customHeight="false" outlineLevel="0" collapsed="false">
      <c r="E24" s="59" t="s">
        <v>324</v>
      </c>
      <c r="F24" s="38" t="n">
        <v>13</v>
      </c>
      <c r="I24" s="38" t="n">
        <v>66</v>
      </c>
      <c r="J24" s="39" t="n">
        <f aca="false">1286362.79/17</f>
        <v>75668.3994117647</v>
      </c>
      <c r="O24" s="39" t="n">
        <f aca="false">-J24</f>
        <v>-75668.3994117647</v>
      </c>
    </row>
    <row r="25" customFormat="false" ht="13.2" hidden="false" customHeight="false" outlineLevel="0" collapsed="false">
      <c r="E25" s="59" t="s">
        <v>324</v>
      </c>
      <c r="F25" s="38" t="n">
        <v>14</v>
      </c>
      <c r="I25" s="38" t="n">
        <v>60</v>
      </c>
      <c r="J25" s="39" t="n">
        <f aca="false">1286362.79/17</f>
        <v>75668.3994117647</v>
      </c>
      <c r="O25" s="39" t="n">
        <f aca="false">-J25</f>
        <v>-75668.3994117647</v>
      </c>
    </row>
    <row r="26" customFormat="false" ht="13.2" hidden="false" customHeight="false" outlineLevel="0" collapsed="false">
      <c r="E26" s="59" t="s">
        <v>324</v>
      </c>
      <c r="F26" s="38" t="n">
        <v>15</v>
      </c>
      <c r="I26" s="38" t="n">
        <v>60</v>
      </c>
      <c r="J26" s="39" t="n">
        <f aca="false">1286362.79/17</f>
        <v>75668.3994117647</v>
      </c>
      <c r="O26" s="39" t="n">
        <v>0</v>
      </c>
    </row>
    <row r="27" customFormat="false" ht="13.2" hidden="false" customHeight="false" outlineLevel="0" collapsed="false">
      <c r="E27" s="59" t="s">
        <v>324</v>
      </c>
      <c r="F27" s="38" t="n">
        <v>16</v>
      </c>
      <c r="I27" s="38" t="n">
        <v>60</v>
      </c>
      <c r="J27" s="39" t="n">
        <f aca="false">1286362.79/17</f>
        <v>75668.3994117647</v>
      </c>
      <c r="O27" s="39" t="n">
        <v>0</v>
      </c>
    </row>
    <row r="28" customFormat="false" ht="13.2" hidden="false" customHeight="false" outlineLevel="0" collapsed="false">
      <c r="E28" s="59" t="s">
        <v>324</v>
      </c>
      <c r="F28" s="38" t="n">
        <v>17</v>
      </c>
      <c r="I28" s="297" t="n">
        <v>56</v>
      </c>
      <c r="J28" s="77" t="n">
        <f aca="false">1286362.79/17</f>
        <v>75668.3994117647</v>
      </c>
      <c r="O28" s="39" t="n">
        <v>0</v>
      </c>
    </row>
    <row r="29" customFormat="false" ht="13.2" hidden="false" customHeight="false" outlineLevel="0" collapsed="false">
      <c r="F29" s="38"/>
      <c r="I29" s="38" t="n">
        <f aca="false">SUM(I12:I28)</f>
        <v>916</v>
      </c>
      <c r="J29" s="39" t="n">
        <f aca="false">SUM(J12:J28)</f>
        <v>1286362.79</v>
      </c>
      <c r="P29" s="39" t="n">
        <f aca="false">SUM(O12:O28)+N9</f>
        <v>227005.198235294</v>
      </c>
    </row>
    <row r="30" customFormat="false" ht="13.2" hidden="false" customHeight="false" outlineLevel="0" collapsed="false">
      <c r="E30" s="37" t="s">
        <v>325</v>
      </c>
      <c r="F30" s="38"/>
      <c r="N30" s="39" t="n">
        <v>25429.5</v>
      </c>
      <c r="O30" s="39" t="n">
        <v>0</v>
      </c>
      <c r="P30" s="39" t="n">
        <v>0</v>
      </c>
    </row>
    <row r="31" customFormat="false" ht="13.2" hidden="false" customHeight="false" outlineLevel="0" collapsed="false">
      <c r="E31" s="73" t="s">
        <v>326</v>
      </c>
      <c r="F31" s="38"/>
      <c r="N31" s="39" t="n">
        <f aca="false">-N30</f>
        <v>-25429.5</v>
      </c>
    </row>
    <row r="32" customFormat="false" ht="3.6" hidden="false" customHeight="true" outlineLevel="0" collapsed="false">
      <c r="N32" s="52"/>
      <c r="O32" s="52"/>
      <c r="P32" s="52"/>
    </row>
    <row r="33" customFormat="false" ht="13.2" hidden="false" customHeight="false" outlineLevel="0" collapsed="false">
      <c r="C33" s="37" t="s">
        <v>327</v>
      </c>
      <c r="J33" s="40" t="n">
        <f aca="false">+P33-O33=N33</f>
        <v>1</v>
      </c>
      <c r="N33" s="39" t="n">
        <f aca="false">SUM(N5:N32)</f>
        <v>2574821.59</v>
      </c>
      <c r="O33" s="39" t="n">
        <f aca="false">SUM(O4:O32)</f>
        <v>-1999932.51576471</v>
      </c>
      <c r="P33" s="39" t="n">
        <f aca="false">SUM(P4:P32)</f>
        <v>574889.074235294</v>
      </c>
      <c r="Q33" s="39"/>
    </row>
    <row r="34" customFormat="false" ht="5.4" hidden="false" customHeight="true" outlineLevel="0" collapsed="false"/>
    <row r="35" customFormat="false" ht="13.2" hidden="false" customHeight="false" outlineLevel="0" collapsed="false">
      <c r="A35" s="37" t="n">
        <v>3</v>
      </c>
      <c r="B35" s="37" t="s">
        <v>38</v>
      </c>
    </row>
    <row r="36" customFormat="false" ht="13.2" hidden="false" customHeight="false" outlineLevel="0" collapsed="false">
      <c r="D36" s="37" t="s">
        <v>328</v>
      </c>
      <c r="N36" s="39" t="n">
        <v>85000</v>
      </c>
    </row>
    <row r="37" customFormat="false" ht="13.2" hidden="false" customHeight="false" outlineLevel="0" collapsed="false">
      <c r="D37" s="261" t="s">
        <v>329</v>
      </c>
      <c r="O37" s="39" t="n">
        <f aca="false">-N36</f>
        <v>-85000</v>
      </c>
      <c r="P37" s="39" t="n">
        <f aca="false">+N36+O37</f>
        <v>0</v>
      </c>
    </row>
    <row r="38" customFormat="false" ht="13.2" hidden="false" customHeight="false" outlineLevel="0" collapsed="false">
      <c r="D38" s="37" t="s">
        <v>330</v>
      </c>
      <c r="N38" s="39" t="n">
        <v>7392</v>
      </c>
      <c r="P38" s="39" t="n">
        <f aca="false">+N38+O38</f>
        <v>7392</v>
      </c>
    </row>
    <row r="39" customFormat="false" ht="13.2" hidden="false" customHeight="false" outlineLevel="0" collapsed="false">
      <c r="D39" s="37" t="s">
        <v>331</v>
      </c>
      <c r="N39" s="52"/>
      <c r="O39" s="52"/>
      <c r="P39" s="52"/>
    </row>
    <row r="40" customFormat="false" ht="13.2" hidden="false" customHeight="false" outlineLevel="0" collapsed="false">
      <c r="D40" s="261"/>
      <c r="N40" s="39" t="n">
        <f aca="false">SUM(N36:N39)</f>
        <v>92392</v>
      </c>
      <c r="O40" s="39" t="n">
        <f aca="false">SUM(O36:O39)</f>
        <v>-85000</v>
      </c>
      <c r="P40" s="39" t="n">
        <f aca="false">SUM(P36:P39)</f>
        <v>7392</v>
      </c>
    </row>
    <row r="41" customFormat="false" ht="13.2" hidden="false" customHeight="false" outlineLevel="0" collapsed="false">
      <c r="A41" s="37" t="n">
        <v>4</v>
      </c>
      <c r="B41" s="37" t="s">
        <v>40</v>
      </c>
    </row>
    <row r="42" customFormat="false" ht="13.2" hidden="false" customHeight="false" outlineLevel="0" collapsed="false">
      <c r="C42" s="37" t="s">
        <v>332</v>
      </c>
    </row>
    <row r="43" customFormat="false" ht="13.2" hidden="false" customHeight="true" outlineLevel="0" collapsed="false">
      <c r="D43" s="298" t="s">
        <v>333</v>
      </c>
      <c r="E43" s="298"/>
      <c r="F43" s="298"/>
      <c r="G43" s="298"/>
      <c r="H43" s="298"/>
      <c r="I43" s="298"/>
    </row>
    <row r="44" customFormat="false" ht="13.2" hidden="false" customHeight="false" outlineLevel="0" collapsed="false">
      <c r="D44" s="298"/>
      <c r="E44" s="298"/>
      <c r="F44" s="298"/>
      <c r="G44" s="298"/>
      <c r="H44" s="298"/>
      <c r="I44" s="298"/>
      <c r="N44" s="39" t="n">
        <v>166798.35</v>
      </c>
    </row>
    <row r="45" customFormat="false" ht="13.2" hidden="false" customHeight="false" outlineLevel="0" collapsed="false">
      <c r="E45" s="261" t="s">
        <v>334</v>
      </c>
    </row>
    <row r="46" customFormat="false" ht="13.2" hidden="false" customHeight="false" outlineLevel="0" collapsed="false">
      <c r="E46" s="274" t="s">
        <v>335</v>
      </c>
      <c r="F46" s="299"/>
      <c r="G46" s="299"/>
      <c r="H46" s="299"/>
      <c r="I46" s="299"/>
      <c r="J46" s="299"/>
    </row>
    <row r="47" customFormat="false" ht="13.2" hidden="false" customHeight="false" outlineLevel="0" collapsed="false">
      <c r="E47" s="274" t="s">
        <v>336</v>
      </c>
      <c r="F47" s="299"/>
      <c r="G47" s="299"/>
      <c r="H47" s="299"/>
      <c r="I47" s="299"/>
      <c r="J47" s="299"/>
      <c r="O47" s="39" t="n">
        <v>-20400</v>
      </c>
    </row>
    <row r="48" customFormat="false" ht="13.2" hidden="false" customHeight="false" outlineLevel="0" collapsed="false">
      <c r="E48" s="274" t="s">
        <v>337</v>
      </c>
      <c r="F48" s="299"/>
      <c r="G48" s="299"/>
      <c r="H48" s="299"/>
      <c r="I48" s="299"/>
      <c r="J48" s="299"/>
    </row>
    <row r="49" customFormat="false" ht="13.2" hidden="false" customHeight="false" outlineLevel="0" collapsed="false">
      <c r="E49" s="274"/>
      <c r="F49" s="274" t="s">
        <v>338</v>
      </c>
      <c r="G49" s="299"/>
      <c r="H49" s="299"/>
      <c r="I49" s="299"/>
      <c r="J49" s="299"/>
      <c r="O49" s="39" t="n">
        <v>-9200</v>
      </c>
    </row>
    <row r="50" customFormat="false" ht="13.2" hidden="false" customHeight="false" outlineLevel="0" collapsed="false">
      <c r="E50" s="274"/>
      <c r="F50" s="274" t="s">
        <v>339</v>
      </c>
      <c r="G50" s="299"/>
      <c r="H50" s="299"/>
      <c r="I50" s="299"/>
      <c r="J50" s="299"/>
      <c r="O50" s="39" t="n">
        <v>-7360</v>
      </c>
    </row>
    <row r="51" customFormat="false" ht="13.2" hidden="false" customHeight="false" outlineLevel="0" collapsed="false">
      <c r="E51" s="274"/>
      <c r="F51" s="274" t="s">
        <v>340</v>
      </c>
      <c r="G51" s="299"/>
      <c r="H51" s="299"/>
      <c r="I51" s="299"/>
      <c r="J51" s="299"/>
      <c r="O51" s="39" t="n">
        <v>-4200</v>
      </c>
    </row>
    <row r="52" customFormat="false" ht="13.2" hidden="false" customHeight="false" outlineLevel="0" collapsed="false">
      <c r="E52" s="38"/>
      <c r="F52" s="274" t="s">
        <v>341</v>
      </c>
      <c r="G52" s="299"/>
      <c r="H52" s="299"/>
      <c r="I52" s="299"/>
      <c r="J52" s="299"/>
      <c r="O52" s="39" t="n">
        <f aca="false">-9600</f>
        <v>-9600</v>
      </c>
    </row>
    <row r="53" customFormat="false" ht="13.2" hidden="false" customHeight="false" outlineLevel="0" collapsed="false">
      <c r="E53" s="38"/>
      <c r="F53" s="274" t="s">
        <v>342</v>
      </c>
      <c r="G53" s="299"/>
      <c r="H53" s="299"/>
      <c r="I53" s="299"/>
      <c r="J53" s="299"/>
      <c r="O53" s="39" t="n">
        <v>-833</v>
      </c>
    </row>
    <row r="54" customFormat="false" ht="13.2" hidden="false" customHeight="false" outlineLevel="0" collapsed="false">
      <c r="E54" s="38"/>
      <c r="F54" s="274" t="s">
        <v>343</v>
      </c>
      <c r="G54" s="299"/>
      <c r="H54" s="299"/>
      <c r="I54" s="299"/>
      <c r="J54" s="299"/>
      <c r="O54" s="39" t="n">
        <v>-4000</v>
      </c>
    </row>
    <row r="55" customFormat="false" ht="13.2" hidden="false" customHeight="false" outlineLevel="0" collapsed="false">
      <c r="E55" s="38"/>
      <c r="F55" s="274" t="s">
        <v>344</v>
      </c>
      <c r="G55" s="299"/>
      <c r="H55" s="299"/>
      <c r="I55" s="299"/>
      <c r="J55" s="299"/>
      <c r="O55" s="39" t="n">
        <v>-800</v>
      </c>
    </row>
    <row r="56" customFormat="false" ht="13.2" hidden="false" customHeight="false" outlineLevel="0" collapsed="false">
      <c r="E56" s="38"/>
      <c r="F56" s="274" t="s">
        <v>345</v>
      </c>
      <c r="G56" s="299"/>
      <c r="H56" s="299"/>
      <c r="I56" s="299"/>
      <c r="J56" s="299"/>
      <c r="O56" s="39" t="n">
        <v>-11400</v>
      </c>
      <c r="Q56" s="39"/>
    </row>
    <row r="57" customFormat="false" ht="13.2" hidden="false" customHeight="false" outlineLevel="0" collapsed="false">
      <c r="E57" s="38"/>
      <c r="F57" s="274" t="s">
        <v>346</v>
      </c>
      <c r="G57" s="299"/>
      <c r="H57" s="299"/>
      <c r="I57" s="299"/>
      <c r="J57" s="299"/>
      <c r="P57" s="39" t="n">
        <f aca="false">SUM(O46:O57)+N44</f>
        <v>99005.35</v>
      </c>
      <c r="Q57" s="39"/>
    </row>
    <row r="58" customFormat="false" ht="13.2" hidden="false" customHeight="false" outlineLevel="0" collapsed="false">
      <c r="C58" s="37" t="s">
        <v>347</v>
      </c>
    </row>
    <row r="59" customFormat="false" ht="13.2" hidden="false" customHeight="false" outlineLevel="0" collapsed="false">
      <c r="D59" s="38" t="s">
        <v>348</v>
      </c>
      <c r="E59" s="38"/>
    </row>
    <row r="60" customFormat="false" ht="13.2" hidden="false" customHeight="false" outlineLevel="0" collapsed="false">
      <c r="A60" s="49"/>
      <c r="E60" s="38" t="s">
        <v>349</v>
      </c>
      <c r="J60" s="39" t="n">
        <v>81600</v>
      </c>
      <c r="N60" s="38"/>
      <c r="O60" s="39" t="n">
        <f aca="false">-14*4800</f>
        <v>-67200</v>
      </c>
    </row>
    <row r="61" customFormat="false" ht="13.2" hidden="false" customHeight="false" outlineLevel="0" collapsed="false">
      <c r="A61" s="49"/>
      <c r="D61" s="38"/>
      <c r="E61" s="38" t="s">
        <v>350</v>
      </c>
      <c r="J61" s="39" t="n">
        <v>42000</v>
      </c>
    </row>
    <row r="62" customFormat="false" ht="13.2" hidden="false" customHeight="false" outlineLevel="0" collapsed="false">
      <c r="A62" s="49"/>
      <c r="D62" s="38"/>
      <c r="E62" s="38"/>
      <c r="F62" s="38"/>
      <c r="G62" s="38"/>
      <c r="J62" s="39"/>
      <c r="K62" s="98" t="n">
        <f aca="false">+J60+J61</f>
        <v>123600</v>
      </c>
      <c r="L62" s="98"/>
      <c r="M62" s="98"/>
    </row>
    <row r="63" customFormat="false" ht="13.2" hidden="false" customHeight="false" outlineLevel="0" collapsed="false">
      <c r="A63" s="49"/>
      <c r="E63" s="38" t="s">
        <v>351</v>
      </c>
      <c r="J63" s="39" t="n">
        <v>22275</v>
      </c>
      <c r="N63" s="38"/>
      <c r="O63" s="39" t="n">
        <f aca="false">-J63</f>
        <v>-22275</v>
      </c>
    </row>
    <row r="64" customFormat="false" ht="13.2" hidden="false" customHeight="false" outlineLevel="0" collapsed="false">
      <c r="A64" s="49"/>
      <c r="E64" s="38" t="s">
        <v>352</v>
      </c>
      <c r="J64" s="39" t="n">
        <v>5184</v>
      </c>
      <c r="N64" s="38"/>
      <c r="O64" s="39" t="n">
        <f aca="false">-J64</f>
        <v>-5184</v>
      </c>
    </row>
    <row r="65" customFormat="false" ht="13.2" hidden="false" customHeight="false" outlineLevel="0" collapsed="false">
      <c r="A65" s="49"/>
      <c r="E65" s="38" t="s">
        <v>353</v>
      </c>
      <c r="J65" s="39" t="n">
        <v>5450</v>
      </c>
      <c r="N65" s="38"/>
      <c r="O65" s="39" t="n">
        <f aca="false">-J65</f>
        <v>-5450</v>
      </c>
    </row>
    <row r="66" customFormat="false" ht="13.2" hidden="false" customHeight="false" outlineLevel="0" collapsed="false">
      <c r="A66" s="49"/>
      <c r="E66" s="300" t="s">
        <v>354</v>
      </c>
      <c r="F66" s="38"/>
      <c r="G66" s="38"/>
      <c r="J66" s="39" t="n">
        <v>1600</v>
      </c>
      <c r="N66" s="38"/>
      <c r="O66" s="39" t="n">
        <f aca="false">-J66</f>
        <v>-1600</v>
      </c>
    </row>
    <row r="67" customFormat="false" ht="13.2" hidden="false" customHeight="false" outlineLevel="0" collapsed="false">
      <c r="A67" s="49"/>
      <c r="E67" s="38" t="s">
        <v>355</v>
      </c>
      <c r="F67" s="38"/>
      <c r="G67" s="38"/>
      <c r="J67" s="39" t="n">
        <v>544</v>
      </c>
    </row>
    <row r="68" customFormat="false" ht="24.75" hidden="false" customHeight="true" outlineLevel="0" collapsed="false">
      <c r="A68" s="49"/>
      <c r="E68" s="57" t="s">
        <v>356</v>
      </c>
      <c r="F68" s="57"/>
      <c r="G68" s="57"/>
      <c r="H68" s="57"/>
      <c r="I68" s="57"/>
      <c r="J68" s="39" t="n">
        <v>6000</v>
      </c>
    </row>
    <row r="69" customFormat="false" ht="14.25" hidden="false" customHeight="true" outlineLevel="0" collapsed="false">
      <c r="A69" s="49"/>
      <c r="E69" s="38" t="s">
        <v>357</v>
      </c>
      <c r="F69" s="299"/>
      <c r="G69" s="299"/>
      <c r="H69" s="299"/>
      <c r="I69" s="299"/>
      <c r="J69" s="39" t="n">
        <v>1260</v>
      </c>
    </row>
    <row r="70" customFormat="false" ht="13.2" hidden="false" customHeight="false" outlineLevel="0" collapsed="false">
      <c r="A70" s="49"/>
      <c r="E70" s="38"/>
      <c r="F70" s="38"/>
      <c r="G70" s="38"/>
      <c r="K70" s="98" t="n">
        <f aca="false">SUM(J63:J69)</f>
        <v>42313</v>
      </c>
      <c r="L70" s="98"/>
      <c r="M70" s="98"/>
      <c r="N70" s="39" t="n">
        <f aca="false">+K70+K62</f>
        <v>165913</v>
      </c>
      <c r="P70" s="39" t="n">
        <f aca="false">SUM(O59:O69)+N70</f>
        <v>64204</v>
      </c>
    </row>
    <row r="71" customFormat="false" ht="13.2" hidden="false" customHeight="false" outlineLevel="0" collapsed="false">
      <c r="A71" s="49"/>
      <c r="E71" s="38" t="s">
        <v>358</v>
      </c>
      <c r="F71" s="38"/>
      <c r="G71" s="38"/>
    </row>
    <row r="72" customFormat="false" ht="13.2" hidden="false" customHeight="false" outlineLevel="0" collapsed="false">
      <c r="A72" s="49"/>
      <c r="E72" s="38" t="s">
        <v>359</v>
      </c>
      <c r="J72" s="39" t="n">
        <v>30800</v>
      </c>
      <c r="O72" s="39" t="n">
        <f aca="false">+J72</f>
        <v>30800</v>
      </c>
      <c r="P72" s="39" t="n">
        <f aca="false">+O72</f>
        <v>30800</v>
      </c>
    </row>
    <row r="73" customFormat="false" ht="13.2" hidden="false" customHeight="false" outlineLevel="0" collapsed="false">
      <c r="A73" s="49"/>
      <c r="E73" s="38" t="s">
        <v>360</v>
      </c>
      <c r="J73" s="39" t="n">
        <v>32000</v>
      </c>
      <c r="O73" s="39" t="n">
        <f aca="false">J73</f>
        <v>32000</v>
      </c>
      <c r="P73" s="39" t="n">
        <f aca="false">+O73</f>
        <v>32000</v>
      </c>
    </row>
    <row r="74" customFormat="false" ht="7.5" hidden="false" customHeight="true" outlineLevel="0" collapsed="false">
      <c r="E74" s="38"/>
    </row>
    <row r="75" customFormat="false" ht="13.2" hidden="false" customHeight="false" outlineLevel="0" collapsed="false">
      <c r="E75" s="38" t="s">
        <v>361</v>
      </c>
      <c r="I75" s="38" t="s">
        <v>362</v>
      </c>
      <c r="J75" s="39" t="n">
        <f aca="false">J61+4800+4800+4800+J67+J68+J69+J73</f>
        <v>96204</v>
      </c>
      <c r="K75" s="115" t="n">
        <f aca="false">J75*0.05</f>
        <v>4810.2</v>
      </c>
      <c r="L75" s="115"/>
      <c r="N75" s="39" t="n">
        <v>8295.65</v>
      </c>
      <c r="O75" s="39" t="n">
        <f aca="false">-N75+K75</f>
        <v>-3485.45</v>
      </c>
      <c r="P75" s="39" t="n">
        <f aca="false">+N75+O75</f>
        <v>4810.2</v>
      </c>
    </row>
    <row r="76" customFormat="false" ht="13.2" hidden="false" customHeight="false" outlineLevel="0" collapsed="false">
      <c r="E76" s="38" t="s">
        <v>125</v>
      </c>
      <c r="N76" s="39" t="n">
        <v>8082.84</v>
      </c>
      <c r="P76" s="39" t="n">
        <f aca="false">+N76+O76</f>
        <v>8082.84</v>
      </c>
    </row>
    <row r="77" customFormat="false" ht="13.2" hidden="false" customHeight="false" outlineLevel="0" collapsed="false">
      <c r="B77" s="37" t="s">
        <v>363</v>
      </c>
      <c r="E77" s="38"/>
    </row>
    <row r="78" customFormat="false" ht="13.2" hidden="false" customHeight="false" outlineLevel="0" collapsed="false">
      <c r="D78" s="37" t="s">
        <v>364</v>
      </c>
    </row>
    <row r="79" customFormat="false" ht="13.2" hidden="false" customHeight="false" outlineLevel="0" collapsed="false">
      <c r="A79" s="49"/>
      <c r="E79" s="37" t="s">
        <v>365</v>
      </c>
      <c r="J79" s="39" t="n">
        <v>90801</v>
      </c>
    </row>
    <row r="80" customFormat="false" ht="13.2" hidden="false" customHeight="false" outlineLevel="0" collapsed="false">
      <c r="A80" s="49"/>
      <c r="E80" s="37" t="s">
        <v>366</v>
      </c>
      <c r="J80" s="39" t="n">
        <f aca="false">+O80-J79</f>
        <v>22330</v>
      </c>
      <c r="O80" s="39" t="n">
        <v>113131</v>
      </c>
      <c r="P80" s="39" t="n">
        <f aca="false">+N80+O80</f>
        <v>113131</v>
      </c>
    </row>
    <row r="81" customFormat="false" ht="13.2" hidden="false" customHeight="false" outlineLevel="0" collapsed="false">
      <c r="N81" s="52"/>
      <c r="O81" s="52"/>
      <c r="P81" s="52"/>
    </row>
    <row r="82" customFormat="false" ht="13.2" hidden="false" customHeight="false" outlineLevel="0" collapsed="false">
      <c r="N82" s="39" t="n">
        <f aca="false">SUM(N41:N81)</f>
        <v>349089.84</v>
      </c>
      <c r="O82" s="39" t="n">
        <f aca="false">SUM(O41:O81)</f>
        <v>2943.55</v>
      </c>
      <c r="P82" s="39" t="n">
        <f aca="false">SUM(P41:P81)</f>
        <v>352033.39</v>
      </c>
    </row>
    <row r="83" customFormat="false" ht="7.5" hidden="false" customHeight="true" outlineLevel="0" collapsed="false"/>
    <row r="84" customFormat="false" ht="13.2" hidden="false" customHeight="false" outlineLevel="0" collapsed="false">
      <c r="A84" s="37" t="n">
        <v>5</v>
      </c>
      <c r="B84" s="37" t="s">
        <v>43</v>
      </c>
    </row>
    <row r="85" customFormat="false" ht="13.2" hidden="false" customHeight="false" outlineLevel="0" collapsed="false">
      <c r="C85" s="50" t="s">
        <v>44</v>
      </c>
      <c r="N85" s="39" t="n">
        <v>18507.78</v>
      </c>
      <c r="O85" s="39" t="n">
        <v>0</v>
      </c>
      <c r="P85" s="39" t="n">
        <f aca="false">+N85+O85</f>
        <v>18507.78</v>
      </c>
    </row>
    <row r="86" customFormat="false" ht="8.25" hidden="false" customHeight="true" outlineLevel="0" collapsed="false"/>
    <row r="87" customFormat="false" ht="13.2" hidden="false" customHeight="false" outlineLevel="0" collapsed="false">
      <c r="A87" s="37" t="n">
        <v>6</v>
      </c>
      <c r="B87" s="37" t="s">
        <v>45</v>
      </c>
      <c r="D87" s="37" t="s">
        <v>367</v>
      </c>
    </row>
    <row r="88" customFormat="false" ht="13.2" hidden="false" customHeight="false" outlineLevel="0" collapsed="false">
      <c r="C88" s="73" t="s">
        <v>368</v>
      </c>
      <c r="D88" s="74"/>
      <c r="E88" s="80"/>
    </row>
    <row r="89" customFormat="false" ht="13.2" hidden="false" customHeight="false" outlineLevel="0" collapsed="false">
      <c r="C89" s="73" t="s">
        <v>369</v>
      </c>
      <c r="D89" s="74"/>
      <c r="E89" s="80"/>
    </row>
    <row r="90" customFormat="false" ht="15" hidden="false" customHeight="true" outlineLevel="0" collapsed="false">
      <c r="C90" s="74"/>
      <c r="D90" s="79" t="s">
        <v>370</v>
      </c>
      <c r="E90" s="79"/>
      <c r="F90" s="79"/>
      <c r="G90" s="79"/>
      <c r="H90" s="79"/>
      <c r="I90" s="79"/>
      <c r="J90" s="79"/>
      <c r="K90" s="79"/>
      <c r="L90" s="127" t="n">
        <v>3120</v>
      </c>
      <c r="M90" s="127"/>
    </row>
    <row r="91" customFormat="false" ht="16.2" hidden="false" customHeight="true" outlineLevel="0" collapsed="false">
      <c r="C91" s="74"/>
      <c r="D91" s="79" t="s">
        <v>371</v>
      </c>
      <c r="E91" s="79"/>
      <c r="F91" s="79"/>
      <c r="G91" s="79"/>
      <c r="H91" s="79"/>
      <c r="I91" s="79"/>
      <c r="J91" s="79"/>
      <c r="K91" s="79"/>
      <c r="L91" s="127" t="n">
        <v>4982</v>
      </c>
      <c r="M91" s="127"/>
    </row>
    <row r="92" customFormat="false" ht="13.8" hidden="false" customHeight="true" outlineLevel="0" collapsed="false">
      <c r="C92" s="74"/>
      <c r="D92" s="79" t="s">
        <v>372</v>
      </c>
      <c r="E92" s="79"/>
      <c r="F92" s="79"/>
      <c r="G92" s="79"/>
      <c r="H92" s="79"/>
      <c r="I92" s="79"/>
      <c r="J92" s="79"/>
      <c r="K92" s="79"/>
      <c r="L92" s="127" t="n">
        <v>1206</v>
      </c>
      <c r="M92" s="127"/>
    </row>
    <row r="93" customFormat="false" ht="27" hidden="false" customHeight="true" outlineLevel="0" collapsed="false">
      <c r="C93" s="74"/>
      <c r="D93" s="79" t="s">
        <v>373</v>
      </c>
      <c r="E93" s="79"/>
      <c r="F93" s="79"/>
      <c r="G93" s="79"/>
      <c r="H93" s="79"/>
      <c r="I93" s="79"/>
      <c r="L93" s="127" t="n">
        <v>4368</v>
      </c>
      <c r="M93" s="127"/>
    </row>
    <row r="94" customFormat="false" ht="16.5" hidden="false" customHeight="true" outlineLevel="0" collapsed="false">
      <c r="C94" s="74"/>
      <c r="D94" s="73" t="s">
        <v>374</v>
      </c>
    </row>
    <row r="95" customFormat="false" ht="13.2" hidden="false" customHeight="false" outlineLevel="0" collapsed="false">
      <c r="C95" s="74"/>
      <c r="D95" s="73" t="s">
        <v>375</v>
      </c>
      <c r="L95" s="80"/>
    </row>
    <row r="96" customFormat="false" ht="13.2" hidden="false" customHeight="false" outlineLevel="0" collapsed="false">
      <c r="C96" s="74"/>
      <c r="D96" s="73" t="s">
        <v>376</v>
      </c>
      <c r="L96" s="127" t="n">
        <v>1496</v>
      </c>
      <c r="M96" s="127"/>
    </row>
    <row r="97" customFormat="false" ht="13.2" hidden="false" customHeight="false" outlineLevel="0" collapsed="false">
      <c r="C97" s="74"/>
      <c r="D97" s="73" t="s">
        <v>377</v>
      </c>
      <c r="L97" s="127" t="n">
        <v>800</v>
      </c>
      <c r="M97" s="127"/>
      <c r="O97" s="39" t="n">
        <f aca="false">-L97</f>
        <v>-800</v>
      </c>
    </row>
    <row r="98" customFormat="false" ht="15" hidden="false" customHeight="true" outlineLevel="0" collapsed="false">
      <c r="C98" s="74"/>
      <c r="D98" s="73" t="s">
        <v>378</v>
      </c>
      <c r="L98" s="80"/>
    </row>
    <row r="99" customFormat="false" ht="13.2" hidden="false" customHeight="false" outlineLevel="0" collapsed="false">
      <c r="C99" s="74"/>
      <c r="D99" s="73" t="s">
        <v>379</v>
      </c>
      <c r="L99" s="127" t="n">
        <v>4297</v>
      </c>
      <c r="M99" s="127"/>
      <c r="O99" s="39" t="n">
        <f aca="false">-L99</f>
        <v>-4297</v>
      </c>
    </row>
    <row r="100" customFormat="false" ht="15" hidden="false" customHeight="true" outlineLevel="0" collapsed="false">
      <c r="C100" s="74"/>
      <c r="D100" s="73" t="s">
        <v>380</v>
      </c>
      <c r="L100" s="80"/>
    </row>
    <row r="101" customFormat="false" ht="13.2" hidden="false" customHeight="false" outlineLevel="0" collapsed="false">
      <c r="C101" s="74"/>
      <c r="D101" s="73" t="s">
        <v>381</v>
      </c>
      <c r="L101" s="127" t="n">
        <v>1096</v>
      </c>
      <c r="M101" s="127"/>
      <c r="O101" s="39" t="n">
        <f aca="false">-L101</f>
        <v>-1096</v>
      </c>
    </row>
    <row r="102" customFormat="false" ht="13.2" hidden="false" customHeight="false" outlineLevel="0" collapsed="false">
      <c r="C102" s="74"/>
      <c r="D102" s="73" t="s">
        <v>382</v>
      </c>
      <c r="L102" s="80"/>
    </row>
    <row r="103" customFormat="false" ht="13.2" hidden="false" customHeight="false" outlineLevel="0" collapsed="false">
      <c r="C103" s="74"/>
      <c r="D103" s="73" t="s">
        <v>383</v>
      </c>
      <c r="I103" s="82" t="n">
        <v>49.3</v>
      </c>
      <c r="J103" s="73" t="s">
        <v>384</v>
      </c>
      <c r="L103" s="127" t="n">
        <f aca="false">49.3*80</f>
        <v>3944</v>
      </c>
      <c r="M103" s="127"/>
    </row>
    <row r="104" customFormat="false" ht="13.2" hidden="false" customHeight="false" outlineLevel="0" collapsed="false">
      <c r="C104" s="74"/>
      <c r="D104" s="73" t="s">
        <v>385</v>
      </c>
      <c r="L104" s="127" t="n">
        <v>725.29</v>
      </c>
      <c r="M104" s="127"/>
    </row>
    <row r="105" customFormat="false" ht="13.2" hidden="false" customHeight="false" outlineLevel="0" collapsed="false">
      <c r="C105" s="74"/>
      <c r="D105" s="73" t="s">
        <v>386</v>
      </c>
      <c r="L105" s="80"/>
    </row>
    <row r="106" customFormat="false" ht="13.2" hidden="false" customHeight="false" outlineLevel="0" collapsed="false">
      <c r="C106" s="74"/>
      <c r="D106" s="73" t="s">
        <v>387</v>
      </c>
      <c r="L106" s="127" t="n">
        <v>2517.14</v>
      </c>
      <c r="M106" s="127"/>
      <c r="O106" s="39" t="n">
        <f aca="false">-L106</f>
        <v>-2517.14</v>
      </c>
    </row>
    <row r="107" customFormat="false" ht="13.2" hidden="false" customHeight="false" outlineLevel="0" collapsed="false">
      <c r="C107" s="74"/>
      <c r="D107" s="73" t="s">
        <v>388</v>
      </c>
      <c r="L107" s="80"/>
    </row>
    <row r="108" customFormat="false" ht="13.2" hidden="false" customHeight="false" outlineLevel="0" collapsed="false">
      <c r="C108" s="74"/>
      <c r="D108" s="73" t="s">
        <v>389</v>
      </c>
      <c r="L108" s="264"/>
    </row>
    <row r="109" customFormat="false" ht="13.2" hidden="false" customHeight="false" outlineLevel="0" collapsed="false">
      <c r="L109" s="127" t="n">
        <f aca="false">SUM(L90:L108)</f>
        <v>28551.43</v>
      </c>
      <c r="M109" s="127"/>
      <c r="N109" s="39" t="n">
        <f aca="false">+L109</f>
        <v>28551.43</v>
      </c>
      <c r="O109" s="38"/>
      <c r="P109" s="39" t="n">
        <f aca="false">+N109+O106+O101+O99+O97</f>
        <v>19841.29</v>
      </c>
    </row>
    <row r="110" customFormat="false" ht="13.2" hidden="false" customHeight="false" outlineLevel="0" collapsed="false">
      <c r="B110" s="37" t="s">
        <v>390</v>
      </c>
      <c r="L110" s="75"/>
      <c r="M110" s="75"/>
      <c r="O110" s="38"/>
    </row>
    <row r="111" customFormat="false" ht="13.2" hidden="false" customHeight="false" outlineLevel="0" collapsed="false">
      <c r="D111" s="37" t="s">
        <v>391</v>
      </c>
      <c r="J111" s="291"/>
    </row>
    <row r="112" customFormat="false" ht="13.2" hidden="false" customHeight="false" outlineLevel="0" collapsed="false">
      <c r="D112" s="37" t="s">
        <v>392</v>
      </c>
      <c r="J112" s="291"/>
    </row>
    <row r="113" customFormat="false" ht="13.2" hidden="false" customHeight="false" outlineLevel="0" collapsed="false">
      <c r="D113" s="37" t="s">
        <v>393</v>
      </c>
      <c r="J113" s="291"/>
    </row>
    <row r="114" customFormat="false" ht="13.2" hidden="false" customHeight="false" outlineLevel="0" collapsed="false">
      <c r="E114" s="37" t="s">
        <v>394</v>
      </c>
      <c r="J114" s="291"/>
    </row>
    <row r="115" customFormat="false" ht="13.2" hidden="false" customHeight="false" outlineLevel="0" collapsed="false">
      <c r="D115" s="37" t="s">
        <v>395</v>
      </c>
      <c r="J115" s="301"/>
    </row>
    <row r="116" customFormat="false" ht="13.2" hidden="false" customHeight="false" outlineLevel="0" collapsed="false">
      <c r="E116" s="37" t="s">
        <v>396</v>
      </c>
      <c r="J116" s="75" t="n">
        <v>3000</v>
      </c>
      <c r="N116" s="39" t="n">
        <f aca="false">+J116</f>
        <v>3000</v>
      </c>
      <c r="O116" s="39" t="n">
        <f aca="false">-N116</f>
        <v>-3000</v>
      </c>
      <c r="P116" s="39" t="n">
        <f aca="false">N116+O116</f>
        <v>0</v>
      </c>
    </row>
    <row r="117" customFormat="false" ht="13.2" hidden="false" customHeight="false" outlineLevel="0" collapsed="false">
      <c r="J117" s="291"/>
      <c r="N117" s="52"/>
      <c r="O117" s="52"/>
      <c r="P117" s="52"/>
    </row>
    <row r="118" customFormat="false" ht="13.2" hidden="false" customHeight="false" outlineLevel="0" collapsed="false">
      <c r="J118" s="291"/>
      <c r="N118" s="39" t="n">
        <f aca="false">SUM(N90:N117)</f>
        <v>31551.43</v>
      </c>
      <c r="O118" s="39" t="n">
        <f aca="false">SUM(O90:O117)</f>
        <v>-11710.14</v>
      </c>
      <c r="P118" s="39" t="n">
        <f aca="false">SUM(P90:P117)</f>
        <v>19841.29</v>
      </c>
    </row>
    <row r="119" customFormat="false" ht="13.2" hidden="false" customHeight="false" outlineLevel="0" collapsed="false">
      <c r="J119" s="37"/>
    </row>
    <row r="120" customFormat="false" ht="13.2" hidden="false" customHeight="false" outlineLevel="0" collapsed="false">
      <c r="A120" s="37" t="n">
        <v>7</v>
      </c>
      <c r="B120" s="37" t="s">
        <v>49</v>
      </c>
      <c r="J120" s="37"/>
    </row>
    <row r="121" customFormat="false" ht="13.2" hidden="false" customHeight="false" outlineLevel="0" collapsed="false">
      <c r="C121" s="37" t="s">
        <v>397</v>
      </c>
      <c r="J121" s="37"/>
    </row>
    <row r="122" customFormat="false" ht="13.2" hidden="false" customHeight="false" outlineLevel="0" collapsed="false">
      <c r="E122" s="302"/>
      <c r="H122" s="303" t="n">
        <v>36700</v>
      </c>
      <c r="I122" s="303"/>
      <c r="J122" s="39" t="n">
        <f aca="false">2502.5+496+864+520+60+1002.4+130</f>
        <v>5574.9</v>
      </c>
    </row>
    <row r="123" customFormat="false" ht="13.2" hidden="false" customHeight="false" outlineLevel="0" collapsed="false">
      <c r="H123" s="303" t="n">
        <v>36701</v>
      </c>
      <c r="I123" s="303"/>
      <c r="J123" s="39" t="n">
        <f aca="false">1757.7+6160.05+520+60+130</f>
        <v>8627.75</v>
      </c>
    </row>
    <row r="124" customFormat="false" ht="13.2" hidden="false" customHeight="false" outlineLevel="0" collapsed="false">
      <c r="H124" s="303" t="n">
        <v>36702</v>
      </c>
      <c r="I124" s="303"/>
      <c r="J124" s="39" t="n">
        <f aca="false">1370.2+7757.1+520+60+130</f>
        <v>9837.3</v>
      </c>
    </row>
    <row r="125" customFormat="false" ht="13.2" hidden="false" customHeight="false" outlineLevel="0" collapsed="false">
      <c r="H125" s="303" t="n">
        <v>36703</v>
      </c>
      <c r="I125" s="303"/>
      <c r="J125" s="39" t="n">
        <f aca="false">496+418.5+3024+874.8+520+60+130</f>
        <v>5523.3</v>
      </c>
    </row>
    <row r="126" customFormat="false" ht="13.2" hidden="false" customHeight="false" outlineLevel="0" collapsed="false">
      <c r="H126" s="303" t="n">
        <v>36704</v>
      </c>
      <c r="I126" s="303"/>
      <c r="J126" s="39" t="n">
        <f aca="false">2502.5+496+520+60+1002.4</f>
        <v>4580.9</v>
      </c>
    </row>
    <row r="127" customFormat="false" ht="13.2" hidden="false" customHeight="false" outlineLevel="0" collapsed="false">
      <c r="I127" s="59" t="s">
        <v>124</v>
      </c>
      <c r="J127" s="77" t="n">
        <v>821.15</v>
      </c>
    </row>
    <row r="128" customFormat="false" ht="13.2" hidden="false" customHeight="false" outlineLevel="0" collapsed="false">
      <c r="J128" s="39" t="n">
        <f aca="false">SUM(J122:J127)</f>
        <v>34965.3</v>
      </c>
      <c r="N128" s="39" t="n">
        <f aca="false">+J128</f>
        <v>34965.3</v>
      </c>
      <c r="O128" s="39" t="n">
        <v>0</v>
      </c>
      <c r="P128" s="39" t="n">
        <f aca="false">+N128+O128</f>
        <v>34965.3</v>
      </c>
    </row>
    <row r="129" customFormat="false" ht="13.2" hidden="false" customHeight="false" outlineLevel="0" collapsed="false">
      <c r="C129" s="261" t="s">
        <v>398</v>
      </c>
      <c r="J129" s="39"/>
    </row>
    <row r="130" customFormat="false" ht="13.2" hidden="false" customHeight="false" outlineLevel="0" collapsed="false">
      <c r="C130" s="37" t="s">
        <v>399</v>
      </c>
      <c r="J130" s="39"/>
      <c r="N130" s="39" t="n">
        <v>843.48</v>
      </c>
      <c r="O130" s="39" t="n">
        <v>0</v>
      </c>
      <c r="P130" s="39" t="n">
        <f aca="false">+O130+N130</f>
        <v>843.48</v>
      </c>
    </row>
    <row r="131" customFormat="false" ht="13.2" hidden="false" customHeight="false" outlineLevel="0" collapsed="false">
      <c r="C131" s="261" t="s">
        <v>398</v>
      </c>
      <c r="J131" s="39"/>
      <c r="N131" s="52"/>
      <c r="O131" s="52"/>
      <c r="P131" s="52"/>
    </row>
    <row r="132" customFormat="false" ht="13.2" hidden="false" customHeight="false" outlineLevel="0" collapsed="false">
      <c r="C132" s="261"/>
      <c r="J132" s="39"/>
      <c r="N132" s="39" t="n">
        <f aca="false">+N128+N130</f>
        <v>35808.78</v>
      </c>
      <c r="O132" s="39" t="n">
        <f aca="false">+O128+O130</f>
        <v>0</v>
      </c>
      <c r="P132" s="39" t="n">
        <f aca="false">+P128+P130</f>
        <v>35808.78</v>
      </c>
    </row>
    <row r="134" customFormat="false" ht="13.2" hidden="false" customHeight="false" outlineLevel="0" collapsed="false">
      <c r="A134" s="37" t="n">
        <v>9</v>
      </c>
      <c r="B134" s="37" t="s">
        <v>54</v>
      </c>
      <c r="J134" s="39"/>
    </row>
    <row r="135" customFormat="false" ht="13.2" hidden="false" customHeight="false" outlineLevel="0" collapsed="false">
      <c r="C135" s="37" t="s">
        <v>400</v>
      </c>
      <c r="J135" s="39" t="n">
        <v>2285.56</v>
      </c>
      <c r="O135" s="39" t="n">
        <f aca="false">-J135</f>
        <v>-2285.56</v>
      </c>
      <c r="P135" s="39" t="n">
        <v>0</v>
      </c>
    </row>
    <row r="136" customFormat="false" ht="13.2" hidden="false" customHeight="false" outlineLevel="0" collapsed="false">
      <c r="D136" s="37" t="s">
        <v>401</v>
      </c>
      <c r="J136" s="39"/>
    </row>
    <row r="137" customFormat="false" ht="13.2" hidden="false" customHeight="false" outlineLevel="0" collapsed="false">
      <c r="E137" s="261" t="s">
        <v>402</v>
      </c>
      <c r="J137" s="39"/>
    </row>
    <row r="138" customFormat="false" ht="13.2" hidden="false" customHeight="false" outlineLevel="0" collapsed="false">
      <c r="C138" s="37" t="s">
        <v>403</v>
      </c>
      <c r="J138" s="39"/>
    </row>
    <row r="139" customFormat="false" ht="13.2" hidden="false" customHeight="false" outlineLevel="0" collapsed="false">
      <c r="D139" s="37" t="s">
        <v>404</v>
      </c>
      <c r="J139" s="39" t="n">
        <v>325000</v>
      </c>
      <c r="O139" s="39" t="n">
        <f aca="false">-J139</f>
        <v>-325000</v>
      </c>
      <c r="P139" s="39" t="n">
        <v>0</v>
      </c>
    </row>
    <row r="140" customFormat="false" ht="13.2" hidden="false" customHeight="false" outlineLevel="0" collapsed="false">
      <c r="E140" s="261" t="s">
        <v>405</v>
      </c>
      <c r="J140" s="39"/>
    </row>
    <row r="141" customFormat="false" ht="13.2" hidden="false" customHeight="false" outlineLevel="0" collapsed="false">
      <c r="D141" s="37" t="s">
        <v>406</v>
      </c>
      <c r="J141" s="39" t="n">
        <v>300000</v>
      </c>
      <c r="N141" s="39" t="n">
        <f aca="false">+J135+J139+J141</f>
        <v>627285.56</v>
      </c>
      <c r="O141" s="39" t="n">
        <f aca="false">-J141</f>
        <v>-300000</v>
      </c>
      <c r="P141" s="39" t="n">
        <v>0</v>
      </c>
    </row>
    <row r="142" customFormat="false" ht="13.2" hidden="false" customHeight="false" outlineLevel="0" collapsed="false">
      <c r="E142" s="261" t="s">
        <v>405</v>
      </c>
      <c r="J142" s="39"/>
      <c r="N142" s="52"/>
      <c r="O142" s="52"/>
      <c r="P142" s="52"/>
    </row>
    <row r="143" customFormat="false" ht="13.2" hidden="false" customHeight="false" outlineLevel="0" collapsed="false">
      <c r="J143" s="39"/>
      <c r="N143" s="39" t="n">
        <f aca="false">SUM(N141:N142)</f>
        <v>627285.56</v>
      </c>
      <c r="O143" s="39" t="n">
        <f aca="false">SUM(O135:O142)</f>
        <v>-627285.56</v>
      </c>
      <c r="P143" s="39" t="n">
        <f aca="false">SUM(P135:P142)</f>
        <v>0</v>
      </c>
    </row>
    <row r="144" customFormat="false" ht="13.2" hidden="false" customHeight="false" outlineLevel="0" collapsed="false">
      <c r="J144" s="39"/>
    </row>
    <row r="145" customFormat="false" ht="13.2" hidden="false" customHeight="false" outlineLevel="0" collapsed="false">
      <c r="J145" s="39"/>
    </row>
    <row r="146" customFormat="false" ht="13.2" hidden="false" customHeight="false" outlineLevel="0" collapsed="false">
      <c r="J146" s="39"/>
    </row>
    <row r="147" customFormat="false" ht="13.2" hidden="false" customHeight="false" outlineLevel="0" collapsed="false">
      <c r="J147" s="39"/>
    </row>
    <row r="148" customFormat="false" ht="13.2" hidden="false" customHeight="false" outlineLevel="0" collapsed="false">
      <c r="J148" s="39"/>
    </row>
    <row r="149" customFormat="false" ht="13.2" hidden="false" customHeight="false" outlineLevel="0" collapsed="false">
      <c r="J149" s="39"/>
    </row>
    <row r="150" customFormat="false" ht="13.2" hidden="false" customHeight="false" outlineLevel="0" collapsed="false">
      <c r="J150" s="39"/>
    </row>
    <row r="151" customFormat="false" ht="13.2" hidden="false" customHeight="false" outlineLevel="0" collapsed="false">
      <c r="J151" s="39"/>
    </row>
    <row r="152" customFormat="false" ht="13.2" hidden="false" customHeight="false" outlineLevel="0" collapsed="false">
      <c r="J152" s="39"/>
    </row>
    <row r="153" customFormat="false" ht="13.2" hidden="false" customHeight="false" outlineLevel="0" collapsed="false">
      <c r="J153" s="39"/>
    </row>
    <row r="154" customFormat="false" ht="13.2" hidden="false" customHeight="false" outlineLevel="0" collapsed="false">
      <c r="J154" s="39"/>
    </row>
    <row r="155" customFormat="false" ht="13.2" hidden="false" customHeight="false" outlineLevel="0" collapsed="false">
      <c r="J155" s="39"/>
    </row>
    <row r="156" customFormat="false" ht="13.2" hidden="false" customHeight="false" outlineLevel="0" collapsed="false">
      <c r="J156" s="39"/>
    </row>
    <row r="157" customFormat="false" ht="13.2" hidden="false" customHeight="false" outlineLevel="0" collapsed="false">
      <c r="J157" s="39"/>
    </row>
    <row r="158" customFormat="false" ht="13.2" hidden="false" customHeight="false" outlineLevel="0" collapsed="false">
      <c r="J158" s="39"/>
    </row>
    <row r="159" customFormat="false" ht="13.2" hidden="false" customHeight="false" outlineLevel="0" collapsed="false">
      <c r="J159" s="39"/>
    </row>
    <row r="160" customFormat="false" ht="13.2" hidden="false" customHeight="false" outlineLevel="0" collapsed="false">
      <c r="J160" s="39"/>
    </row>
    <row r="161" customFormat="false" ht="13.2" hidden="false" customHeight="false" outlineLevel="0" collapsed="false">
      <c r="J161" s="39"/>
    </row>
    <row r="162" customFormat="false" ht="13.2" hidden="false" customHeight="false" outlineLevel="0" collapsed="false">
      <c r="J162" s="39"/>
    </row>
    <row r="163" customFormat="false" ht="13.2" hidden="false" customHeight="false" outlineLevel="0" collapsed="false">
      <c r="J163" s="39"/>
    </row>
    <row r="164" customFormat="false" ht="13.2" hidden="false" customHeight="false" outlineLevel="0" collapsed="false">
      <c r="J164" s="39"/>
    </row>
    <row r="165" customFormat="false" ht="13.2" hidden="false" customHeight="false" outlineLevel="0" collapsed="false">
      <c r="J165" s="39"/>
    </row>
    <row r="166" customFormat="false" ht="13.2" hidden="false" customHeight="false" outlineLevel="0" collapsed="false">
      <c r="J166" s="39"/>
    </row>
    <row r="167" customFormat="false" ht="13.2" hidden="false" customHeight="false" outlineLevel="0" collapsed="false">
      <c r="J167" s="39"/>
    </row>
    <row r="168" customFormat="false" ht="13.2" hidden="false" customHeight="false" outlineLevel="0" collapsed="false">
      <c r="J168" s="39"/>
    </row>
    <row r="169" customFormat="false" ht="13.2" hidden="false" customHeight="false" outlineLevel="0" collapsed="false">
      <c r="J169" s="39"/>
    </row>
    <row r="170" customFormat="false" ht="13.2" hidden="false" customHeight="false" outlineLevel="0" collapsed="false">
      <c r="J170" s="39"/>
    </row>
    <row r="171" customFormat="false" ht="13.2" hidden="false" customHeight="false" outlineLevel="0" collapsed="false">
      <c r="J171" s="39"/>
    </row>
    <row r="172" customFormat="false" ht="13.2" hidden="false" customHeight="false" outlineLevel="0" collapsed="false">
      <c r="J172" s="39"/>
    </row>
    <row r="173" customFormat="false" ht="13.2" hidden="false" customHeight="false" outlineLevel="0" collapsed="false">
      <c r="J173" s="39"/>
    </row>
  </sheetData>
  <mergeCells count="26">
    <mergeCell ref="D43:I44"/>
    <mergeCell ref="K62:M62"/>
    <mergeCell ref="E68:I68"/>
    <mergeCell ref="K70:M70"/>
    <mergeCell ref="K75:L75"/>
    <mergeCell ref="D90:K90"/>
    <mergeCell ref="L90:M90"/>
    <mergeCell ref="D91:K91"/>
    <mergeCell ref="L91:M91"/>
    <mergeCell ref="D92:K92"/>
    <mergeCell ref="L92:M92"/>
    <mergeCell ref="D93:I93"/>
    <mergeCell ref="L93:M93"/>
    <mergeCell ref="L96:M96"/>
    <mergeCell ref="L97:M97"/>
    <mergeCell ref="L99:M99"/>
    <mergeCell ref="L101:M101"/>
    <mergeCell ref="L103:M103"/>
    <mergeCell ref="L104:M104"/>
    <mergeCell ref="L106:M106"/>
    <mergeCell ref="L109:M109"/>
    <mergeCell ref="H122:I122"/>
    <mergeCell ref="H123:I123"/>
    <mergeCell ref="H124:I124"/>
    <mergeCell ref="H125:I125"/>
    <mergeCell ref="H126:I126"/>
  </mergeCells>
  <printOptions headings="false" gridLines="false" gridLinesSet="true" horizontalCentered="false" verticalCentered="false"/>
  <pageMargins left="0.170138888888889" right="0.329861111111111" top="0.420138888888889" bottom="0.490277777777778" header="0.2" footer="0.25"/>
  <pageSetup paperSize="1" scale="100" fitToWidth="1" fitToHeight="1" pageOrder="downThenOver" orientation="landscape" blackAndWhite="false" draft="false" cellComments="none" horizontalDpi="300" verticalDpi="300" copies="1"/>
  <headerFooter differentFirst="false" differentOddEven="false">
    <oddHeader>&amp;L&amp;"Arial,Bold"&amp;12Doyle Power, LCC - Principal Insured&amp;RThru: &amp;D
Page &amp;P</oddHeader>
    <oddFooter>&amp;L&amp;F&amp;R&amp;A</oddFooter>
  </headerFooter>
  <rowBreaks count="2" manualBreakCount="2">
    <brk id="40" man="true" max="16383" min="0"/>
    <brk id="109" man="true" max="16383" min="0"/>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9"/>
  <sheetViews>
    <sheetView showFormulas="false" showGridLines="true" showRowColHeaders="true" showZeros="true" rightToLeft="false" tabSelected="false" showOutlineSymbols="true" defaultGridColor="true" view="pageBreakPreview" topLeftCell="A1" colorId="64" zoomScale="75" zoomScaleNormal="75" zoomScalePageLayoutView="75" workbookViewId="0">
      <selection pane="topLeft" activeCell="A1" activeCellId="0" sqref="A1"/>
    </sheetView>
  </sheetViews>
  <sheetFormatPr defaultColWidth="10.328125" defaultRowHeight="13.2" customHeight="true" zeroHeight="false" outlineLevelRow="0" outlineLevelCol="0"/>
  <cols>
    <col collapsed="false" customWidth="true" hidden="false" outlineLevel="0" max="1" min="1" style="37" width="2.32"/>
    <col collapsed="false" customWidth="true" hidden="false" outlineLevel="0" max="2" min="2" style="37" width="3.66"/>
    <col collapsed="false" customWidth="true" hidden="false" outlineLevel="0" max="3" min="3" style="37" width="22.43"/>
    <col collapsed="false" customWidth="true" hidden="false" outlineLevel="0" max="4" min="4" style="37" width="9.21"/>
    <col collapsed="false" customWidth="true" hidden="false" outlineLevel="0" max="5" min="5" style="37" width="6.32"/>
    <col collapsed="false" customWidth="true" hidden="false" outlineLevel="0" max="6" min="6" style="37" width="6.99"/>
    <col collapsed="false" customWidth="true" hidden="false" outlineLevel="0" max="7" min="7" style="37" width="5.99"/>
    <col collapsed="false" customWidth="true" hidden="false" outlineLevel="0" max="8" min="8" style="38" width="10.87"/>
    <col collapsed="false" customWidth="true" hidden="false" outlineLevel="0" max="9" min="9" style="38" width="11.21"/>
    <col collapsed="false" customWidth="true" hidden="false" outlineLevel="0" max="10" min="10" style="38" width="10.87"/>
    <col collapsed="false" customWidth="true" hidden="false" outlineLevel="0" max="11" min="11" style="38" width="11.66"/>
    <col collapsed="false" customWidth="true" hidden="false" outlineLevel="0" max="12" min="12" style="39" width="11.1"/>
    <col collapsed="false" customWidth="true" hidden="false" outlineLevel="0" max="13" min="13" style="39" width="13.1"/>
    <col collapsed="false" customWidth="true" hidden="false" outlineLevel="0" max="14" min="14" style="39" width="10.87"/>
    <col collapsed="false" customWidth="false" hidden="false" outlineLevel="0" max="257" min="15" style="38" width="10.32"/>
  </cols>
  <sheetData>
    <row r="1" customFormat="false" ht="15.6" hidden="false" customHeight="false" outlineLevel="0" collapsed="false">
      <c r="C1" s="41" t="s">
        <v>99</v>
      </c>
      <c r="D1" s="41"/>
      <c r="E1" s="41"/>
      <c r="F1" s="41"/>
      <c r="G1" s="41"/>
      <c r="H1" s="42" t="s">
        <v>407</v>
      </c>
    </row>
    <row r="2" customFormat="false" ht="13.2" hidden="false" customHeight="false" outlineLevel="0" collapsed="false">
      <c r="C2" s="38" t="s">
        <v>25</v>
      </c>
      <c r="D2" s="38"/>
      <c r="E2" s="38"/>
      <c r="F2" s="38"/>
      <c r="G2" s="38"/>
    </row>
    <row r="3" customFormat="false" ht="18.6" hidden="false" customHeight="true" outlineLevel="0" collapsed="false">
      <c r="A3" s="43" t="s">
        <v>6</v>
      </c>
      <c r="B3" s="43"/>
      <c r="C3" s="43" t="s">
        <v>26</v>
      </c>
      <c r="D3" s="43"/>
      <c r="E3" s="43"/>
      <c r="F3" s="43"/>
      <c r="H3" s="37"/>
      <c r="I3" s="41"/>
      <c r="J3" s="41"/>
      <c r="K3" s="41"/>
      <c r="L3" s="70" t="s">
        <v>28</v>
      </c>
      <c r="M3" s="70" t="s">
        <v>29</v>
      </c>
      <c r="N3" s="70" t="s">
        <v>30</v>
      </c>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c r="IR3" s="41"/>
      <c r="IS3" s="41"/>
      <c r="IT3" s="41"/>
      <c r="IU3" s="41"/>
      <c r="IV3" s="41"/>
      <c r="IW3" s="41"/>
    </row>
    <row r="4" customFormat="false" ht="13.2" hidden="false" customHeight="false" outlineLevel="0" collapsed="false">
      <c r="A4" s="37" t="n">
        <v>8</v>
      </c>
      <c r="B4" s="37" t="s">
        <v>51</v>
      </c>
      <c r="D4" s="37" t="s">
        <v>408</v>
      </c>
    </row>
    <row r="5" customFormat="false" ht="13.2" hidden="false" customHeight="false" outlineLevel="0" collapsed="false">
      <c r="B5" s="73" t="s">
        <v>409</v>
      </c>
      <c r="C5" s="38"/>
      <c r="D5" s="74"/>
      <c r="E5" s="74"/>
      <c r="F5" s="73" t="s">
        <v>410</v>
      </c>
      <c r="G5" s="81" t="s">
        <v>188</v>
      </c>
      <c r="H5" s="75" t="s">
        <v>410</v>
      </c>
      <c r="I5" s="75" t="s">
        <v>411</v>
      </c>
      <c r="J5" s="75" t="s">
        <v>412</v>
      </c>
      <c r="K5" s="75" t="s">
        <v>143</v>
      </c>
    </row>
    <row r="6" customFormat="false" ht="13.2" hidden="false" customHeight="false" outlineLevel="0" collapsed="false">
      <c r="B6" s="73" t="s">
        <v>413</v>
      </c>
      <c r="C6" s="38"/>
      <c r="D6" s="73" t="s">
        <v>414</v>
      </c>
      <c r="E6" s="73" t="s">
        <v>188</v>
      </c>
      <c r="F6" s="73" t="s">
        <v>415</v>
      </c>
      <c r="G6" s="80" t="s">
        <v>199</v>
      </c>
      <c r="H6" s="75" t="s">
        <v>157</v>
      </c>
      <c r="I6" s="75" t="s">
        <v>157</v>
      </c>
      <c r="J6" s="75" t="s">
        <v>157</v>
      </c>
      <c r="K6" s="75" t="s">
        <v>157</v>
      </c>
    </row>
    <row r="7" customFormat="false" ht="13.2" hidden="false" customHeight="false" outlineLevel="0" collapsed="false">
      <c r="B7" s="73" t="s">
        <v>416</v>
      </c>
      <c r="C7" s="38"/>
      <c r="D7" s="74"/>
      <c r="E7" s="74"/>
      <c r="F7" s="74"/>
      <c r="G7" s="80"/>
      <c r="H7" s="80"/>
      <c r="I7" s="75" t="n">
        <f aca="false">+'Schedule 3 (Materials)'!I47</f>
        <v>132958.46</v>
      </c>
      <c r="J7" s="80"/>
      <c r="K7" s="75" t="n">
        <f aca="false">+I7</f>
        <v>132958.46</v>
      </c>
      <c r="M7" s="39" t="n">
        <f aca="false">+'Schedule 3 (Materials)'!J47</f>
        <v>-20168.468</v>
      </c>
      <c r="N7" s="39" t="n">
        <f aca="false">+K7+M7</f>
        <v>112789.992</v>
      </c>
    </row>
    <row r="8" customFormat="false" ht="13.2" hidden="false" customHeight="false" outlineLevel="0" collapsed="false">
      <c r="B8" s="73" t="s">
        <v>417</v>
      </c>
      <c r="C8" s="38"/>
      <c r="D8" s="304" t="n">
        <v>6674</v>
      </c>
      <c r="E8" s="73" t="s">
        <v>418</v>
      </c>
      <c r="F8" s="305" t="n">
        <v>6674</v>
      </c>
      <c r="G8" s="75" t="n">
        <v>20.4</v>
      </c>
      <c r="H8" s="75" t="n">
        <v>136150</v>
      </c>
      <c r="I8" s="80"/>
      <c r="J8" s="80"/>
      <c r="K8" s="75" t="n">
        <v>136150</v>
      </c>
    </row>
    <row r="9" customFormat="false" ht="13.2" hidden="false" customHeight="true" outlineLevel="0" collapsed="false">
      <c r="B9" s="280" t="s">
        <v>419</v>
      </c>
      <c r="C9" s="38"/>
      <c r="D9" s="306" t="n">
        <f aca="false">6488-D8</f>
        <v>-186</v>
      </c>
      <c r="E9" s="73" t="s">
        <v>418</v>
      </c>
      <c r="F9" s="305"/>
      <c r="G9" s="75"/>
      <c r="H9" s="75"/>
      <c r="I9" s="80"/>
      <c r="J9" s="80"/>
      <c r="K9" s="75"/>
      <c r="M9" s="65" t="n">
        <f aca="false">+D9*G8</f>
        <v>-3794.4</v>
      </c>
    </row>
    <row r="10" customFormat="false" ht="13.2" hidden="false" customHeight="false" outlineLevel="0" collapsed="false">
      <c r="B10" s="280" t="s">
        <v>420</v>
      </c>
      <c r="C10" s="38"/>
      <c r="D10" s="305"/>
      <c r="E10" s="73"/>
      <c r="F10" s="305"/>
      <c r="G10" s="75"/>
      <c r="H10" s="75"/>
      <c r="I10" s="80"/>
      <c r="J10" s="80"/>
      <c r="K10" s="75"/>
    </row>
    <row r="11" customFormat="false" ht="13.2" hidden="false" customHeight="false" outlineLevel="0" collapsed="false">
      <c r="B11" s="38"/>
      <c r="C11" s="280" t="s">
        <v>421</v>
      </c>
      <c r="D11" s="306" t="n">
        <f aca="false">+'Sche 3 (L-Craft, By Trade)'!BR107</f>
        <v>-2374.5</v>
      </c>
      <c r="E11" s="73" t="s">
        <v>418</v>
      </c>
      <c r="M11" s="39" t="n">
        <f aca="false">+D11*G8</f>
        <v>-48439.8</v>
      </c>
    </row>
    <row r="12" customFormat="false" ht="13.2" hidden="false" customHeight="false" outlineLevel="0" collapsed="false">
      <c r="B12" s="38"/>
      <c r="C12" s="280" t="s">
        <v>422</v>
      </c>
      <c r="D12" s="306" t="n">
        <f aca="false">+'Sche 3 (L-Craft, By Trade)'!BR108</f>
        <v>-1551.5</v>
      </c>
      <c r="E12" s="73" t="s">
        <v>418</v>
      </c>
      <c r="M12" s="39" t="n">
        <f aca="false">+G8*D12</f>
        <v>-31650.6</v>
      </c>
      <c r="N12" s="39" t="n">
        <f aca="false">+K8+M9+M11+M12</f>
        <v>52265.2</v>
      </c>
    </row>
    <row r="13" customFormat="false" ht="13.2" hidden="false" customHeight="false" outlineLevel="0" collapsed="false">
      <c r="B13" s="73" t="s">
        <v>423</v>
      </c>
      <c r="C13" s="38"/>
      <c r="D13" s="307"/>
      <c r="E13" s="183"/>
      <c r="F13" s="308"/>
      <c r="G13" s="264"/>
      <c r="H13" s="264"/>
      <c r="I13" s="264"/>
      <c r="J13" s="83" t="n">
        <f aca="false">+'Schedule 3 (Materials)'!H65</f>
        <v>111262.48</v>
      </c>
      <c r="K13" s="83" t="n">
        <f aca="false">+J13</f>
        <v>111262.48</v>
      </c>
      <c r="L13" s="52"/>
      <c r="N13" s="39" t="n">
        <f aca="false">+K13</f>
        <v>111262.48</v>
      </c>
    </row>
    <row r="14" customFormat="false" ht="13.2" hidden="false" customHeight="false" outlineLevel="0" collapsed="false">
      <c r="B14" s="73" t="s">
        <v>424</v>
      </c>
      <c r="C14" s="38"/>
      <c r="D14" s="309" t="n">
        <f aca="false">SUM(D8:D13)</f>
        <v>2562</v>
      </c>
      <c r="E14" s="74"/>
      <c r="F14" s="305" t="n">
        <v>6674</v>
      </c>
      <c r="H14" s="75" t="n">
        <f aca="false">+H8</f>
        <v>136150</v>
      </c>
      <c r="I14" s="75" t="n">
        <f aca="false">+I7</f>
        <v>132958.46</v>
      </c>
      <c r="J14" s="80" t="n">
        <f aca="false">+J13</f>
        <v>111262.48</v>
      </c>
      <c r="K14" s="75" t="n">
        <f aca="false">+K7+K8+K13</f>
        <v>380370.94</v>
      </c>
      <c r="L14" s="39" t="n">
        <f aca="false">+K14</f>
        <v>380370.94</v>
      </c>
    </row>
    <row r="15" customFormat="false" ht="5.4" hidden="false" customHeight="true" outlineLevel="0" collapsed="false">
      <c r="B15" s="73"/>
      <c r="C15" s="38"/>
      <c r="D15" s="74"/>
      <c r="E15" s="74"/>
      <c r="F15" s="305"/>
      <c r="H15" s="75"/>
      <c r="I15" s="75"/>
      <c r="J15" s="80"/>
      <c r="K15" s="75"/>
    </row>
    <row r="16" customFormat="false" ht="13.2" hidden="false" customHeight="false" outlineLevel="0" collapsed="false">
      <c r="B16" s="73" t="s">
        <v>425</v>
      </c>
      <c r="C16" s="38"/>
      <c r="D16" s="310" t="n">
        <v>667</v>
      </c>
      <c r="E16" s="74"/>
      <c r="F16" s="204" t="n">
        <v>667</v>
      </c>
      <c r="G16" s="75" t="n">
        <v>20.4</v>
      </c>
      <c r="H16" s="75" t="n">
        <v>13615</v>
      </c>
      <c r="I16" s="80"/>
      <c r="J16" s="80"/>
      <c r="K16" s="75" t="n">
        <v>13615</v>
      </c>
    </row>
    <row r="17" customFormat="false" ht="13.2" hidden="false" customHeight="false" outlineLevel="0" collapsed="false">
      <c r="B17" s="73" t="s">
        <v>426</v>
      </c>
      <c r="C17" s="38"/>
      <c r="D17" s="309" t="n">
        <f aca="false">+D8+D9+D11+D12</f>
        <v>2562</v>
      </c>
      <c r="E17" s="74"/>
      <c r="F17" s="311" t="n">
        <f aca="false">+(F14-D17)*-0.1</f>
        <v>-411.2</v>
      </c>
      <c r="G17" s="75" t="n">
        <v>20.4</v>
      </c>
      <c r="H17" s="75"/>
      <c r="I17" s="75"/>
      <c r="J17" s="80"/>
      <c r="K17" s="75"/>
      <c r="M17" s="39" t="n">
        <f aca="false">+F17*G16</f>
        <v>-8388.48</v>
      </c>
      <c r="N17" s="39" t="n">
        <f aca="false">+K16+M17</f>
        <v>5226.52</v>
      </c>
    </row>
    <row r="18" customFormat="false" ht="13.2" hidden="false" customHeight="false" outlineLevel="0" collapsed="false">
      <c r="B18" s="73" t="s">
        <v>427</v>
      </c>
      <c r="C18" s="38"/>
      <c r="D18" s="74"/>
      <c r="E18" s="74"/>
      <c r="F18" s="74"/>
      <c r="G18" s="80"/>
      <c r="H18" s="75" t="n">
        <v>38939</v>
      </c>
      <c r="I18" s="80"/>
      <c r="J18" s="80"/>
      <c r="K18" s="39" t="n">
        <f aca="false">+H18</f>
        <v>38939</v>
      </c>
    </row>
    <row r="19" customFormat="false" ht="13.2" hidden="false" customHeight="false" outlineLevel="0" collapsed="false">
      <c r="B19" s="73" t="s">
        <v>426</v>
      </c>
      <c r="C19" s="38"/>
      <c r="D19" s="81" t="n">
        <f aca="false">+H8+M9+M11+M12+H16+M17</f>
        <v>57491.72</v>
      </c>
      <c r="E19" s="312" t="s">
        <v>428</v>
      </c>
      <c r="F19" s="97" t="n">
        <f aca="false">+D19*0.26</f>
        <v>14947.8472</v>
      </c>
      <c r="G19" s="97"/>
      <c r="H19" s="80"/>
      <c r="I19" s="80"/>
      <c r="J19" s="80"/>
      <c r="K19" s="75"/>
      <c r="M19" s="39" t="n">
        <f aca="false">+F19-H18</f>
        <v>-23991.1528</v>
      </c>
      <c r="N19" s="39" t="n">
        <f aca="false">+K18+M19</f>
        <v>14947.8472</v>
      </c>
    </row>
    <row r="20" customFormat="false" ht="13.2" hidden="false" customHeight="false" outlineLevel="0" collapsed="false">
      <c r="B20" s="73" t="s">
        <v>429</v>
      </c>
      <c r="C20" s="38"/>
      <c r="D20" s="74"/>
      <c r="E20" s="74"/>
      <c r="F20" s="311" t="n">
        <f aca="false">+F17</f>
        <v>-411.2</v>
      </c>
      <c r="G20" s="75" t="n">
        <v>20.4</v>
      </c>
      <c r="H20" s="75"/>
      <c r="I20" s="80"/>
      <c r="J20" s="80"/>
      <c r="K20" s="75"/>
    </row>
    <row r="21" customFormat="false" ht="13.2" hidden="false" customHeight="false" outlineLevel="0" collapsed="false">
      <c r="B21" s="73" t="s">
        <v>430</v>
      </c>
      <c r="C21" s="38"/>
      <c r="D21" s="74"/>
      <c r="E21" s="74"/>
      <c r="F21" s="74" t="n">
        <f aca="false">+I21/0.94</f>
        <v>7341.48936170213</v>
      </c>
      <c r="G21" s="80"/>
      <c r="H21" s="80"/>
      <c r="I21" s="75" t="n">
        <v>6901</v>
      </c>
      <c r="J21" s="80"/>
      <c r="K21" s="75" t="n">
        <v>6901</v>
      </c>
    </row>
    <row r="22" customFormat="false" ht="13.2" hidden="false" customHeight="false" outlineLevel="0" collapsed="false">
      <c r="B22" s="280" t="s">
        <v>431</v>
      </c>
      <c r="C22" s="38"/>
      <c r="D22" s="313" t="n">
        <f aca="false">+(F16+F17)+D17</f>
        <v>2817.8</v>
      </c>
      <c r="E22" s="74"/>
      <c r="F22" s="314" t="n">
        <f aca="false">+D22-F21</f>
        <v>-4523.68936170213</v>
      </c>
      <c r="G22" s="80"/>
      <c r="H22" s="80"/>
      <c r="I22" s="75"/>
      <c r="J22" s="80"/>
      <c r="K22" s="75"/>
      <c r="M22" s="39" t="n">
        <f aca="false">+F22*0.94</f>
        <v>-4252.268</v>
      </c>
      <c r="N22" s="39" t="n">
        <f aca="false">+K21+M22</f>
        <v>2648.732</v>
      </c>
    </row>
    <row r="23" customFormat="false" ht="13.2" hidden="false" customHeight="false" outlineLevel="0" collapsed="false">
      <c r="B23" s="73" t="s">
        <v>432</v>
      </c>
      <c r="C23" s="38"/>
      <c r="D23" s="315"/>
      <c r="E23" s="74"/>
      <c r="F23" s="74"/>
      <c r="G23" s="80"/>
      <c r="H23" s="80"/>
      <c r="I23" s="80" t="n">
        <v>22024</v>
      </c>
      <c r="J23" s="80"/>
      <c r="K23" s="80" t="n">
        <f aca="false">+I23</f>
        <v>22024</v>
      </c>
    </row>
    <row r="24" customFormat="false" ht="13.2" hidden="false" customHeight="false" outlineLevel="0" collapsed="false">
      <c r="B24" s="280" t="s">
        <v>431</v>
      </c>
      <c r="C24" s="38"/>
      <c r="D24" s="305" t="n">
        <f aca="false">+D22</f>
        <v>2817.8</v>
      </c>
      <c r="E24" s="74"/>
      <c r="F24" s="314" t="n">
        <f aca="false">+F22</f>
        <v>-4523.68936170213</v>
      </c>
      <c r="G24" s="80"/>
      <c r="H24" s="80"/>
      <c r="I24" s="80"/>
      <c r="J24" s="80"/>
      <c r="K24" s="80"/>
      <c r="M24" s="39" t="n">
        <f aca="false">+F24*3</f>
        <v>-13571.0680851064</v>
      </c>
      <c r="N24" s="39" t="n">
        <f aca="false">+K23+M24</f>
        <v>8452.93191489362</v>
      </c>
    </row>
    <row r="25" customFormat="false" ht="13.2" hidden="false" customHeight="false" outlineLevel="0" collapsed="false">
      <c r="B25" s="73" t="s">
        <v>433</v>
      </c>
      <c r="C25" s="38"/>
      <c r="D25" s="74"/>
      <c r="E25" s="315"/>
      <c r="F25" s="74"/>
      <c r="G25" s="80"/>
      <c r="H25" s="80"/>
      <c r="I25" s="80" t="n">
        <v>20689</v>
      </c>
      <c r="J25" s="80"/>
      <c r="K25" s="80" t="n">
        <f aca="false">+I25</f>
        <v>20689</v>
      </c>
    </row>
    <row r="26" customFormat="false" ht="13.2" hidden="false" customHeight="false" outlineLevel="0" collapsed="false">
      <c r="B26" s="280" t="s">
        <v>431</v>
      </c>
      <c r="C26" s="38"/>
      <c r="D26" s="313" t="n">
        <f aca="false">+D24</f>
        <v>2817.8</v>
      </c>
      <c r="E26" s="315"/>
      <c r="F26" s="314" t="n">
        <f aca="false">+F22</f>
        <v>-4523.68936170213</v>
      </c>
      <c r="G26" s="80"/>
      <c r="H26" s="80"/>
      <c r="I26" s="80"/>
      <c r="J26" s="80"/>
      <c r="K26" s="80"/>
      <c r="M26" s="39" t="n">
        <f aca="false">+F26*3</f>
        <v>-13571.0680851064</v>
      </c>
      <c r="N26" s="39" t="n">
        <f aca="false">+K25+M26</f>
        <v>7117.93191489362</v>
      </c>
    </row>
    <row r="27" customFormat="false" ht="13.2" hidden="false" customHeight="false" outlineLevel="0" collapsed="false">
      <c r="B27" s="73" t="s">
        <v>434</v>
      </c>
      <c r="C27" s="38"/>
      <c r="D27" s="305"/>
      <c r="E27" s="74"/>
      <c r="F27" s="74"/>
      <c r="G27" s="80"/>
      <c r="H27" s="80"/>
      <c r="I27" s="80" t="s">
        <v>435</v>
      </c>
      <c r="J27" s="80"/>
      <c r="K27" s="80" t="str">
        <f aca="false">+I27</f>
        <v>w 8,343.00</v>
      </c>
      <c r="M27" s="54" t="s">
        <v>436</v>
      </c>
    </row>
    <row r="28" customFormat="false" ht="13.2" hidden="false" customHeight="false" outlineLevel="0" collapsed="false">
      <c r="B28" s="73" t="s">
        <v>437</v>
      </c>
      <c r="C28" s="38"/>
      <c r="D28" s="305" t="n">
        <v>2223</v>
      </c>
      <c r="E28" s="73" t="s">
        <v>418</v>
      </c>
      <c r="F28" s="38"/>
      <c r="G28" s="82" t="n">
        <v>41</v>
      </c>
      <c r="H28" s="316" t="n">
        <f aca="false">+D28*G28</f>
        <v>91143</v>
      </c>
      <c r="I28" s="80"/>
      <c r="J28" s="80"/>
      <c r="K28" s="80" t="n">
        <f aca="false">+H28</f>
        <v>91143</v>
      </c>
    </row>
    <row r="29" customFormat="false" ht="13.2" hidden="false" customHeight="false" outlineLevel="0" collapsed="false">
      <c r="B29" s="280" t="s">
        <v>438</v>
      </c>
      <c r="C29" s="38"/>
      <c r="D29" s="305" t="n">
        <f aca="false">+'Schedule 3 (L-Office)'!O85</f>
        <v>2183</v>
      </c>
      <c r="E29" s="73" t="s">
        <v>418</v>
      </c>
      <c r="F29" s="311" t="n">
        <f aca="false">+D29-D28</f>
        <v>-40</v>
      </c>
      <c r="G29" s="82" t="n">
        <v>41</v>
      </c>
      <c r="H29" s="75"/>
      <c r="I29" s="80"/>
      <c r="J29" s="80"/>
      <c r="K29" s="80"/>
      <c r="M29" s="317" t="n">
        <f aca="false">+F29*G29</f>
        <v>-1640</v>
      </c>
    </row>
    <row r="30" customFormat="false" ht="13.2" hidden="false" customHeight="false" outlineLevel="0" collapsed="false">
      <c r="A30" s="261"/>
      <c r="B30" s="280" t="s">
        <v>439</v>
      </c>
      <c r="C30" s="274"/>
      <c r="D30" s="311" t="n">
        <f aca="false">-'Schedule 3 (L-Office)'!Q84</f>
        <v>-1082</v>
      </c>
      <c r="E30" s="280" t="s">
        <v>418</v>
      </c>
      <c r="F30" s="311"/>
      <c r="G30" s="82" t="n">
        <v>41</v>
      </c>
      <c r="H30" s="318"/>
      <c r="I30" s="319"/>
      <c r="J30" s="319"/>
      <c r="K30" s="319"/>
      <c r="L30" s="320"/>
      <c r="M30" s="317" t="n">
        <f aca="false">+D30*+G30</f>
        <v>-44362</v>
      </c>
      <c r="N30" s="39" t="n">
        <f aca="false">+K28+M29+M30</f>
        <v>45141</v>
      </c>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4"/>
      <c r="AQ30" s="274"/>
      <c r="AR30" s="274"/>
      <c r="AS30" s="274"/>
      <c r="AT30" s="274"/>
      <c r="AU30" s="274"/>
      <c r="AV30" s="274"/>
      <c r="AW30" s="274"/>
      <c r="AX30" s="274"/>
      <c r="AY30" s="274"/>
      <c r="AZ30" s="274"/>
      <c r="BA30" s="274"/>
      <c r="BB30" s="274"/>
      <c r="BC30" s="274"/>
      <c r="BD30" s="274"/>
      <c r="BE30" s="274"/>
      <c r="BF30" s="274"/>
      <c r="BG30" s="274"/>
      <c r="BH30" s="274"/>
      <c r="BI30" s="274"/>
      <c r="BJ30" s="274"/>
      <c r="BK30" s="274"/>
      <c r="BL30" s="274"/>
      <c r="BM30" s="274"/>
      <c r="BN30" s="274"/>
      <c r="BO30" s="274"/>
      <c r="BP30" s="274"/>
      <c r="BQ30" s="274"/>
      <c r="BR30" s="274"/>
      <c r="BS30" s="274"/>
      <c r="BT30" s="274"/>
      <c r="BU30" s="274"/>
      <c r="BV30" s="274"/>
      <c r="BW30" s="274"/>
      <c r="BX30" s="274"/>
      <c r="BY30" s="274"/>
      <c r="BZ30" s="274"/>
      <c r="CA30" s="274"/>
      <c r="CB30" s="274"/>
      <c r="CC30" s="274"/>
      <c r="CD30" s="274"/>
      <c r="CE30" s="274"/>
      <c r="CF30" s="274"/>
      <c r="CG30" s="274"/>
      <c r="CH30" s="274"/>
      <c r="CI30" s="274"/>
      <c r="CJ30" s="274"/>
      <c r="CK30" s="274"/>
      <c r="CL30" s="274"/>
      <c r="CM30" s="274"/>
      <c r="CN30" s="274"/>
      <c r="CO30" s="274"/>
      <c r="CP30" s="274"/>
      <c r="CQ30" s="274"/>
      <c r="CR30" s="274"/>
      <c r="CS30" s="274"/>
      <c r="CT30" s="274"/>
      <c r="CU30" s="274"/>
      <c r="CV30" s="274"/>
      <c r="CW30" s="274"/>
      <c r="CX30" s="274"/>
      <c r="CY30" s="274"/>
      <c r="CZ30" s="274"/>
      <c r="DA30" s="274"/>
      <c r="DB30" s="274"/>
      <c r="DC30" s="274"/>
      <c r="DD30" s="274"/>
      <c r="DE30" s="274"/>
      <c r="DF30" s="274"/>
      <c r="DG30" s="274"/>
      <c r="DH30" s="274"/>
      <c r="DI30" s="274"/>
      <c r="DJ30" s="274"/>
      <c r="DK30" s="274"/>
      <c r="DL30" s="274"/>
      <c r="DM30" s="274"/>
      <c r="DN30" s="274"/>
      <c r="DO30" s="274"/>
      <c r="DP30" s="274"/>
      <c r="DQ30" s="274"/>
      <c r="DR30" s="274"/>
      <c r="DS30" s="274"/>
      <c r="DT30" s="274"/>
      <c r="DU30" s="274"/>
      <c r="DV30" s="274"/>
      <c r="DW30" s="274"/>
      <c r="DX30" s="274"/>
      <c r="DY30" s="274"/>
      <c r="DZ30" s="274"/>
      <c r="EA30" s="274"/>
      <c r="EB30" s="274"/>
      <c r="EC30" s="274"/>
      <c r="ED30" s="274"/>
      <c r="EE30" s="274"/>
      <c r="EF30" s="274"/>
      <c r="EG30" s="274"/>
      <c r="EH30" s="274"/>
      <c r="EI30" s="274"/>
      <c r="EJ30" s="274"/>
      <c r="EK30" s="274"/>
      <c r="EL30" s="274"/>
      <c r="EM30" s="274"/>
      <c r="EN30" s="274"/>
      <c r="EO30" s="274"/>
      <c r="EP30" s="274"/>
      <c r="EQ30" s="274"/>
      <c r="ER30" s="274"/>
      <c r="ES30" s="274"/>
      <c r="ET30" s="274"/>
      <c r="EU30" s="274"/>
      <c r="EV30" s="274"/>
      <c r="EW30" s="274"/>
      <c r="EX30" s="274"/>
      <c r="EY30" s="274"/>
      <c r="EZ30" s="274"/>
      <c r="FA30" s="274"/>
      <c r="FB30" s="274"/>
      <c r="FC30" s="274"/>
      <c r="FD30" s="274"/>
      <c r="FE30" s="274"/>
      <c r="FF30" s="274"/>
      <c r="FG30" s="274"/>
      <c r="FH30" s="274"/>
      <c r="FI30" s="274"/>
      <c r="FJ30" s="274"/>
      <c r="FK30" s="274"/>
      <c r="FL30" s="274"/>
      <c r="FM30" s="274"/>
      <c r="FN30" s="274"/>
      <c r="FO30" s="274"/>
      <c r="FP30" s="274"/>
      <c r="FQ30" s="274"/>
      <c r="FR30" s="274"/>
      <c r="FS30" s="274"/>
      <c r="FT30" s="274"/>
      <c r="FU30" s="274"/>
      <c r="FV30" s="274"/>
      <c r="FW30" s="274"/>
      <c r="FX30" s="274"/>
      <c r="FY30" s="274"/>
      <c r="FZ30" s="274"/>
      <c r="GA30" s="274"/>
      <c r="GB30" s="274"/>
      <c r="GC30" s="274"/>
      <c r="GD30" s="274"/>
      <c r="GE30" s="274"/>
      <c r="GF30" s="274"/>
      <c r="GG30" s="274"/>
      <c r="GH30" s="274"/>
      <c r="GI30" s="274"/>
      <c r="GJ30" s="274"/>
      <c r="GK30" s="274"/>
      <c r="GL30" s="274"/>
      <c r="GM30" s="274"/>
      <c r="GN30" s="274"/>
      <c r="GO30" s="274"/>
      <c r="GP30" s="274"/>
      <c r="GQ30" s="274"/>
      <c r="GR30" s="274"/>
      <c r="GS30" s="274"/>
      <c r="GT30" s="274"/>
      <c r="GU30" s="274"/>
      <c r="GV30" s="274"/>
      <c r="GW30" s="274"/>
      <c r="GX30" s="274"/>
      <c r="GY30" s="274"/>
      <c r="GZ30" s="274"/>
      <c r="HA30" s="274"/>
      <c r="HB30" s="274"/>
      <c r="HC30" s="274"/>
      <c r="HD30" s="274"/>
      <c r="HE30" s="274"/>
      <c r="HF30" s="274"/>
      <c r="HG30" s="274"/>
      <c r="HH30" s="274"/>
      <c r="HI30" s="274"/>
      <c r="HJ30" s="274"/>
      <c r="HK30" s="274"/>
      <c r="HL30" s="274"/>
      <c r="HM30" s="274"/>
      <c r="HN30" s="274"/>
      <c r="HO30" s="274"/>
      <c r="HP30" s="274"/>
      <c r="HQ30" s="274"/>
      <c r="HR30" s="274"/>
      <c r="HS30" s="274"/>
      <c r="HT30" s="274"/>
      <c r="HU30" s="274"/>
      <c r="HV30" s="274"/>
      <c r="HW30" s="274"/>
      <c r="HX30" s="274"/>
      <c r="HY30" s="274"/>
      <c r="HZ30" s="274"/>
      <c r="IA30" s="274"/>
      <c r="IB30" s="274"/>
      <c r="IC30" s="274"/>
      <c r="ID30" s="274"/>
      <c r="IE30" s="274"/>
      <c r="IF30" s="274"/>
      <c r="IG30" s="274"/>
      <c r="IH30" s="274"/>
      <c r="II30" s="274"/>
      <c r="IJ30" s="274"/>
      <c r="IK30" s="274"/>
      <c r="IL30" s="274"/>
      <c r="IM30" s="274"/>
      <c r="IN30" s="274"/>
      <c r="IO30" s="274"/>
      <c r="IP30" s="274"/>
      <c r="IQ30" s="274"/>
      <c r="IR30" s="274"/>
      <c r="IS30" s="274"/>
      <c r="IT30" s="274"/>
      <c r="IU30" s="274"/>
      <c r="IV30" s="274"/>
      <c r="IW30" s="274"/>
    </row>
    <row r="31" customFormat="false" ht="13.2" hidden="false" customHeight="false" outlineLevel="0" collapsed="false">
      <c r="B31" s="73" t="s">
        <v>440</v>
      </c>
      <c r="C31" s="38"/>
      <c r="D31" s="305" t="n">
        <v>2100</v>
      </c>
      <c r="E31" s="73" t="s">
        <v>418</v>
      </c>
      <c r="F31" s="305" t="n">
        <v>2100</v>
      </c>
      <c r="G31" s="82" t="n">
        <v>41</v>
      </c>
      <c r="H31" s="316" t="n">
        <f aca="false">+F31*G31</f>
        <v>86100</v>
      </c>
      <c r="I31" s="80"/>
      <c r="J31" s="80"/>
      <c r="K31" s="80" t="n">
        <f aca="false">+H31</f>
        <v>86100</v>
      </c>
      <c r="M31" s="317"/>
    </row>
    <row r="32" customFormat="false" ht="13.2" hidden="false" customHeight="false" outlineLevel="0" collapsed="false">
      <c r="B32" s="280" t="s">
        <v>438</v>
      </c>
      <c r="C32" s="38"/>
      <c r="D32" s="311" t="n">
        <f aca="false">+'Schedule 3 (L-Start)'!O85</f>
        <v>2077.5</v>
      </c>
      <c r="E32" s="280" t="s">
        <v>418</v>
      </c>
      <c r="F32" s="311" t="n">
        <v>-23</v>
      </c>
      <c r="G32" s="82"/>
      <c r="H32" s="75"/>
      <c r="I32" s="80"/>
      <c r="J32" s="80"/>
      <c r="K32" s="80"/>
      <c r="M32" s="317" t="n">
        <f aca="false">+F32*G31</f>
        <v>-943</v>
      </c>
    </row>
    <row r="33" customFormat="false" ht="13.2" hidden="false" customHeight="false" outlineLevel="0" collapsed="false">
      <c r="B33" s="280" t="s">
        <v>439</v>
      </c>
      <c r="C33" s="38"/>
      <c r="D33" s="311" t="n">
        <f aca="false">-'Schedule 3 (L-Start)'!P84</f>
        <v>-118</v>
      </c>
      <c r="E33" s="280" t="s">
        <v>418</v>
      </c>
      <c r="F33" s="311"/>
      <c r="G33" s="82" t="n">
        <v>41</v>
      </c>
      <c r="H33" s="75"/>
      <c r="I33" s="80"/>
      <c r="J33" s="80"/>
      <c r="K33" s="80"/>
      <c r="M33" s="317" t="n">
        <f aca="false">+D33*+G33</f>
        <v>-4838</v>
      </c>
      <c r="N33" s="39" t="n">
        <f aca="false">+K31+M32+M33</f>
        <v>80319</v>
      </c>
    </row>
    <row r="34" customFormat="false" ht="13.2" hidden="false" customHeight="false" outlineLevel="0" collapsed="false">
      <c r="B34" s="73" t="s">
        <v>441</v>
      </c>
      <c r="C34" s="38"/>
      <c r="D34" s="305" t="n">
        <f aca="false">+D31+D28</f>
        <v>4323</v>
      </c>
      <c r="E34" s="73" t="s">
        <v>418</v>
      </c>
      <c r="F34" s="38"/>
      <c r="G34" s="321" t="n">
        <v>5.371</v>
      </c>
      <c r="H34" s="80"/>
      <c r="I34" s="316" t="n">
        <v>23223</v>
      </c>
      <c r="J34" s="80"/>
      <c r="K34" s="80" t="n">
        <f aca="false">+I34</f>
        <v>23223</v>
      </c>
      <c r="M34" s="317"/>
    </row>
    <row r="35" customFormat="false" ht="13.2" hidden="false" customHeight="false" outlineLevel="0" collapsed="false">
      <c r="B35" s="280" t="s">
        <v>442</v>
      </c>
      <c r="C35" s="38"/>
      <c r="D35" s="311" t="n">
        <f aca="false">+D33+D30+F29+F32</f>
        <v>-1263</v>
      </c>
      <c r="E35" s="73"/>
      <c r="F35" s="38"/>
      <c r="G35" s="321" t="n">
        <v>5.371</v>
      </c>
      <c r="H35" s="80"/>
      <c r="I35" s="75"/>
      <c r="J35" s="80"/>
      <c r="K35" s="80"/>
      <c r="M35" s="317" t="n">
        <f aca="false">+D35*G35</f>
        <v>-6783.573</v>
      </c>
      <c r="N35" s="39" t="n">
        <f aca="false">+K34+M35</f>
        <v>16439.427</v>
      </c>
    </row>
    <row r="36" customFormat="false" ht="13.2" hidden="false" customHeight="false" outlineLevel="0" collapsed="false">
      <c r="B36" s="111" t="s">
        <v>443</v>
      </c>
      <c r="C36" s="38"/>
      <c r="D36" s="322" t="s">
        <v>444</v>
      </c>
      <c r="E36" s="322"/>
      <c r="F36" s="117"/>
      <c r="G36" s="323" t="n">
        <v>0.52</v>
      </c>
      <c r="H36" s="267"/>
      <c r="I36" s="127" t="n">
        <v>135915</v>
      </c>
      <c r="J36" s="267"/>
      <c r="K36" s="267" t="n">
        <f aca="false">+I36</f>
        <v>135915</v>
      </c>
    </row>
    <row r="37" customFormat="false" ht="13.2" hidden="false" customHeight="true" outlineLevel="0" collapsed="false">
      <c r="B37" s="280" t="s">
        <v>445</v>
      </c>
      <c r="C37" s="38"/>
      <c r="D37" s="324" t="n">
        <f aca="false">+H28+H31+I34+M29+M30+M32+M33+M35</f>
        <v>141899.427</v>
      </c>
      <c r="E37" s="324"/>
      <c r="F37" s="308"/>
      <c r="G37" s="325" t="n">
        <v>0.52</v>
      </c>
      <c r="H37" s="326" t="s">
        <v>446</v>
      </c>
      <c r="I37" s="83"/>
      <c r="J37" s="264"/>
      <c r="K37" s="264"/>
      <c r="L37" s="52"/>
      <c r="M37" s="39" t="n">
        <f aca="false">(+D37*G37)-K36</f>
        <v>-62127.29796</v>
      </c>
      <c r="N37" s="39" t="n">
        <f aca="false">+K36+M37</f>
        <v>73787.70204</v>
      </c>
    </row>
    <row r="38" customFormat="false" ht="13.2" hidden="false" customHeight="false" outlineLevel="0" collapsed="false">
      <c r="B38" s="73" t="s">
        <v>424</v>
      </c>
      <c r="C38" s="38"/>
      <c r="D38" s="311"/>
      <c r="E38" s="38"/>
      <c r="F38" s="38"/>
      <c r="G38" s="38"/>
      <c r="H38" s="80" t="n">
        <f aca="false">SUM(H14:H37)</f>
        <v>365947</v>
      </c>
      <c r="I38" s="80" t="n">
        <f aca="false">SUM(I14:I37)</f>
        <v>341710.46</v>
      </c>
      <c r="J38" s="80" t="n">
        <f aca="false">SUM(J14:J37)</f>
        <v>111262.48</v>
      </c>
      <c r="K38" s="39" t="n">
        <f aca="false">SUM(K16:K36)</f>
        <v>438549</v>
      </c>
      <c r="L38" s="98" t="n">
        <f aca="false">+K38</f>
        <v>438549</v>
      </c>
      <c r="M38" s="98"/>
    </row>
    <row r="39" customFormat="false" ht="5.4" hidden="false" customHeight="true" outlineLevel="0" collapsed="false">
      <c r="B39" s="73"/>
      <c r="C39" s="38"/>
      <c r="D39" s="311"/>
      <c r="E39" s="38"/>
      <c r="F39" s="38"/>
      <c r="G39" s="38"/>
      <c r="H39" s="80"/>
      <c r="I39" s="80"/>
      <c r="J39" s="80"/>
      <c r="K39" s="39"/>
      <c r="L39" s="52"/>
      <c r="M39" s="52"/>
      <c r="N39" s="52"/>
    </row>
    <row r="40" customFormat="false" ht="13.2" hidden="false" customHeight="false" outlineLevel="0" collapsed="false">
      <c r="B40" s="73" t="s">
        <v>18</v>
      </c>
      <c r="C40" s="38"/>
      <c r="D40" s="313"/>
      <c r="E40" s="74"/>
      <c r="F40" s="74"/>
      <c r="G40" s="80"/>
      <c r="K40" s="78" t="n">
        <f aca="false">+L40=N40-M40</f>
        <v>1</v>
      </c>
      <c r="L40" s="39" t="n">
        <f aca="false">+L14+L38</f>
        <v>818919.94</v>
      </c>
      <c r="M40" s="39" t="n">
        <f aca="false">SUM(M4:M38)</f>
        <v>-288521.175930213</v>
      </c>
      <c r="N40" s="39" t="n">
        <f aca="false">SUM(N4:N38)</f>
        <v>530398.764069787</v>
      </c>
    </row>
    <row r="41" customFormat="false" ht="13.2" hidden="false" customHeight="false" outlineLevel="0" collapsed="false">
      <c r="C41" s="327"/>
      <c r="D41" s="74"/>
      <c r="E41" s="74"/>
      <c r="F41" s="74"/>
      <c r="G41" s="80"/>
      <c r="H41" s="75"/>
      <c r="I41" s="80"/>
      <c r="J41" s="75"/>
      <c r="K41" s="80"/>
    </row>
    <row r="42" customFormat="false" ht="13.2" hidden="false" customHeight="false" outlineLevel="0" collapsed="false">
      <c r="C42" s="328"/>
      <c r="D42" s="329"/>
      <c r="E42" s="74"/>
      <c r="F42" s="74"/>
      <c r="G42" s="80"/>
      <c r="H42" s="75"/>
      <c r="I42" s="80"/>
      <c r="J42" s="80"/>
      <c r="K42" s="80"/>
    </row>
    <row r="43" customFormat="false" ht="13.2" hidden="false" customHeight="false" outlineLevel="0" collapsed="false">
      <c r="C43" s="53" t="s">
        <v>447</v>
      </c>
      <c r="E43" s="261" t="s">
        <v>448</v>
      </c>
      <c r="I43" s="39"/>
    </row>
    <row r="44" customFormat="false" ht="13.2" hidden="false" customHeight="false" outlineLevel="0" collapsed="false">
      <c r="C44" s="73" t="s">
        <v>409</v>
      </c>
      <c r="D44" s="74"/>
      <c r="E44" s="74"/>
      <c r="F44" s="73" t="s">
        <v>410</v>
      </c>
      <c r="G44" s="81" t="s">
        <v>188</v>
      </c>
      <c r="H44" s="75" t="s">
        <v>410</v>
      </c>
      <c r="I44" s="75" t="s">
        <v>411</v>
      </c>
      <c r="J44" s="75" t="s">
        <v>412</v>
      </c>
      <c r="K44" s="75" t="s">
        <v>143</v>
      </c>
    </row>
    <row r="45" customFormat="false" ht="13.2" hidden="false" customHeight="false" outlineLevel="0" collapsed="false">
      <c r="C45" s="73" t="s">
        <v>413</v>
      </c>
      <c r="D45" s="73" t="s">
        <v>414</v>
      </c>
      <c r="E45" s="73" t="s">
        <v>188</v>
      </c>
      <c r="F45" s="73" t="s">
        <v>415</v>
      </c>
      <c r="G45" s="80" t="s">
        <v>199</v>
      </c>
      <c r="H45" s="75" t="s">
        <v>157</v>
      </c>
      <c r="I45" s="75" t="s">
        <v>157</v>
      </c>
      <c r="J45" s="75" t="s">
        <v>157</v>
      </c>
      <c r="K45" s="75" t="s">
        <v>157</v>
      </c>
    </row>
    <row r="46" customFormat="false" ht="13.2" hidden="false" customHeight="false" outlineLevel="0" collapsed="false">
      <c r="C46" s="74"/>
      <c r="D46" s="74"/>
      <c r="E46" s="74"/>
      <c r="F46" s="74"/>
      <c r="G46" s="80"/>
      <c r="H46" s="80"/>
      <c r="I46" s="80"/>
      <c r="J46" s="80"/>
      <c r="K46" s="80"/>
    </row>
    <row r="47" customFormat="false" ht="13.2" hidden="false" customHeight="false" outlineLevel="0" collapsed="false">
      <c r="C47" s="74"/>
      <c r="D47" s="74"/>
      <c r="E47" s="74"/>
      <c r="F47" s="74"/>
      <c r="G47" s="80"/>
      <c r="H47" s="80"/>
      <c r="I47" s="80"/>
      <c r="J47" s="80"/>
      <c r="K47" s="80"/>
    </row>
    <row r="48" customFormat="false" ht="13.2" hidden="false" customHeight="false" outlineLevel="0" collapsed="false">
      <c r="C48" s="74"/>
      <c r="D48" s="74"/>
      <c r="E48" s="74"/>
      <c r="F48" s="74"/>
      <c r="G48" s="80"/>
      <c r="H48" s="80"/>
      <c r="I48" s="80"/>
      <c r="J48" s="80"/>
      <c r="K48" s="80"/>
    </row>
    <row r="49" customFormat="false" ht="13.2" hidden="false" customHeight="false" outlineLevel="0" collapsed="false">
      <c r="C49" s="73"/>
      <c r="D49" s="74"/>
      <c r="E49" s="74"/>
      <c r="F49" s="74"/>
      <c r="G49" s="80"/>
      <c r="H49" s="80"/>
      <c r="I49" s="319"/>
      <c r="J49" s="80"/>
      <c r="K49" s="80"/>
    </row>
    <row r="50" customFormat="false" ht="13.2" hidden="false" customHeight="false" outlineLevel="0" collapsed="false">
      <c r="C50" s="74"/>
      <c r="D50" s="74"/>
      <c r="E50" s="74"/>
      <c r="F50" s="74"/>
      <c r="G50" s="80"/>
      <c r="H50" s="80"/>
      <c r="I50" s="80"/>
      <c r="J50" s="80"/>
      <c r="K50" s="80" t="n">
        <f aca="false">+K51+K52+K53=K56</f>
        <v>1</v>
      </c>
    </row>
    <row r="51" customFormat="false" ht="13.2" hidden="false" customHeight="false" outlineLevel="0" collapsed="false">
      <c r="C51" s="73" t="s">
        <v>416</v>
      </c>
      <c r="D51" s="74"/>
      <c r="E51" s="74"/>
      <c r="F51" s="74"/>
      <c r="G51" s="80"/>
      <c r="H51" s="80"/>
      <c r="I51" s="75" t="n">
        <v>11975</v>
      </c>
      <c r="J51" s="80"/>
      <c r="K51" s="75" t="n">
        <f aca="false">+I51</f>
        <v>11975</v>
      </c>
      <c r="M51" s="39" t="n">
        <f aca="false">-K51</f>
        <v>-11975</v>
      </c>
      <c r="N51" s="39" t="n">
        <f aca="false">+K51+M51</f>
        <v>0</v>
      </c>
    </row>
    <row r="52" customFormat="false" ht="13.2" hidden="false" customHeight="false" outlineLevel="0" collapsed="false">
      <c r="C52" s="73" t="s">
        <v>417</v>
      </c>
      <c r="D52" s="305" t="n">
        <v>252.5</v>
      </c>
      <c r="E52" s="73" t="s">
        <v>418</v>
      </c>
      <c r="F52" s="305" t="n">
        <f aca="false">+D52</f>
        <v>252.5</v>
      </c>
      <c r="G52" s="75" t="n">
        <v>20.4</v>
      </c>
      <c r="H52" s="75" t="n">
        <f aca="false">+D52*G52</f>
        <v>5151</v>
      </c>
      <c r="I52" s="80"/>
      <c r="J52" s="80"/>
      <c r="K52" s="75" t="n">
        <f aca="false">+H52</f>
        <v>5151</v>
      </c>
      <c r="M52" s="39" t="n">
        <f aca="false">-K52</f>
        <v>-5151</v>
      </c>
      <c r="N52" s="39" t="n">
        <f aca="false">+K52+M52</f>
        <v>0</v>
      </c>
      <c r="O52" s="39"/>
    </row>
    <row r="53" customFormat="false" ht="13.2" hidden="false" customHeight="false" outlineLevel="0" collapsed="false">
      <c r="C53" s="73" t="s">
        <v>423</v>
      </c>
      <c r="D53" s="305"/>
      <c r="E53" s="73" t="s">
        <v>418</v>
      </c>
      <c r="F53" s="74"/>
      <c r="G53" s="80"/>
      <c r="H53" s="80"/>
      <c r="I53" s="80"/>
      <c r="J53" s="75"/>
      <c r="K53" s="75"/>
    </row>
    <row r="54" customFormat="false" ht="13.2" hidden="false" customHeight="false" outlineLevel="0" collapsed="false">
      <c r="C54" s="73"/>
      <c r="D54" s="74"/>
      <c r="E54" s="73"/>
      <c r="F54" s="74"/>
      <c r="G54" s="80"/>
      <c r="H54" s="80"/>
      <c r="I54" s="80"/>
      <c r="J54" s="75"/>
      <c r="K54" s="75"/>
    </row>
    <row r="55" customFormat="false" ht="13.2" hidden="false" customHeight="false" outlineLevel="0" collapsed="false">
      <c r="C55" s="73"/>
      <c r="D55" s="74"/>
      <c r="E55" s="73"/>
      <c r="F55" s="74"/>
      <c r="G55" s="80"/>
      <c r="H55" s="80"/>
      <c r="I55" s="80"/>
      <c r="J55" s="75"/>
      <c r="K55" s="75"/>
    </row>
    <row r="56" customFormat="false" ht="13.2" hidden="false" customHeight="false" outlineLevel="0" collapsed="false">
      <c r="C56" s="73" t="s">
        <v>424</v>
      </c>
      <c r="D56" s="74"/>
      <c r="E56" s="74"/>
      <c r="F56" s="305" t="n">
        <v>253</v>
      </c>
      <c r="H56" s="75" t="n">
        <v>5151</v>
      </c>
      <c r="I56" s="75" t="n">
        <f aca="false">+I51</f>
        <v>11975</v>
      </c>
      <c r="J56" s="80"/>
      <c r="K56" s="75" t="n">
        <f aca="false">+K51+K52</f>
        <v>17126</v>
      </c>
      <c r="M56" s="39" t="n">
        <f aca="false">-K56</f>
        <v>-17126</v>
      </c>
      <c r="N56" s="39" t="n">
        <f aca="false">+K56+M56</f>
        <v>0</v>
      </c>
    </row>
    <row r="57" customFormat="false" ht="13.2" hidden="false" customHeight="false" outlineLevel="0" collapsed="false">
      <c r="C57" s="73" t="s">
        <v>425</v>
      </c>
      <c r="D57" s="74" t="n">
        <f aca="false">+F57</f>
        <v>25</v>
      </c>
      <c r="E57" s="74"/>
      <c r="F57" s="204" t="n">
        <v>25</v>
      </c>
      <c r="G57" s="75" t="n">
        <v>20.4</v>
      </c>
      <c r="H57" s="75" t="n">
        <v>515</v>
      </c>
      <c r="I57" s="80"/>
      <c r="J57" s="80"/>
      <c r="K57" s="75" t="n">
        <f aca="false">+H57</f>
        <v>515</v>
      </c>
      <c r="M57" s="39" t="n">
        <f aca="false">-K57</f>
        <v>-515</v>
      </c>
      <c r="N57" s="39" t="n">
        <f aca="false">+K57+M57</f>
        <v>0</v>
      </c>
    </row>
    <row r="58" customFormat="false" ht="13.2" hidden="false" customHeight="false" outlineLevel="0" collapsed="false">
      <c r="C58" s="73" t="s">
        <v>449</v>
      </c>
      <c r="D58" s="74"/>
      <c r="E58" s="74"/>
      <c r="F58" s="74"/>
      <c r="G58" s="80"/>
      <c r="H58" s="75" t="n">
        <v>1473</v>
      </c>
      <c r="I58" s="80"/>
      <c r="J58" s="80"/>
      <c r="K58" s="75" t="n">
        <v>1473</v>
      </c>
      <c r="M58" s="39" t="n">
        <f aca="false">-K58</f>
        <v>-1473</v>
      </c>
      <c r="N58" s="39" t="n">
        <f aca="false">+K58+M58</f>
        <v>0</v>
      </c>
    </row>
    <row r="59" customFormat="false" ht="13.2" hidden="false" customHeight="false" outlineLevel="0" collapsed="false">
      <c r="C59" s="73" t="s">
        <v>430</v>
      </c>
      <c r="D59" s="74"/>
      <c r="E59" s="74"/>
      <c r="F59" s="74"/>
      <c r="G59" s="80"/>
      <c r="H59" s="80"/>
      <c r="I59" s="75" t="n">
        <v>261</v>
      </c>
      <c r="J59" s="80"/>
      <c r="K59" s="75" t="n">
        <f aca="false">+I59</f>
        <v>261</v>
      </c>
      <c r="M59" s="39" t="n">
        <f aca="false">-K59</f>
        <v>-261</v>
      </c>
      <c r="N59" s="39" t="n">
        <f aca="false">+K59+M59</f>
        <v>0</v>
      </c>
    </row>
    <row r="60" customFormat="false" ht="13.2" hidden="false" customHeight="false" outlineLevel="0" collapsed="false">
      <c r="C60" s="73" t="s">
        <v>432</v>
      </c>
      <c r="D60" s="315"/>
      <c r="E60" s="74"/>
      <c r="F60" s="74"/>
      <c r="G60" s="80"/>
      <c r="H60" s="80"/>
      <c r="I60" s="80" t="n">
        <v>833</v>
      </c>
      <c r="J60" s="80"/>
      <c r="K60" s="80" t="n">
        <f aca="false">+I60</f>
        <v>833</v>
      </c>
      <c r="M60" s="39" t="n">
        <f aca="false">-K60</f>
        <v>-833</v>
      </c>
      <c r="N60" s="39" t="n">
        <f aca="false">+K60+M60</f>
        <v>0</v>
      </c>
    </row>
    <row r="61" customFormat="false" ht="13.2" hidden="false" customHeight="false" outlineLevel="0" collapsed="false">
      <c r="C61" s="73" t="s">
        <v>433</v>
      </c>
      <c r="D61" s="74"/>
      <c r="E61" s="315"/>
      <c r="F61" s="74"/>
      <c r="G61" s="80"/>
      <c r="H61" s="80"/>
      <c r="I61" s="80" t="n">
        <v>783</v>
      </c>
      <c r="J61" s="80"/>
      <c r="K61" s="80" t="n">
        <f aca="false">+I61</f>
        <v>783</v>
      </c>
      <c r="M61" s="39" t="n">
        <f aca="false">-K61</f>
        <v>-783</v>
      </c>
      <c r="N61" s="39" t="n">
        <f aca="false">+K61+M61</f>
        <v>0</v>
      </c>
    </row>
    <row r="62" customFormat="false" ht="13.2" hidden="false" customHeight="false" outlineLevel="0" collapsed="false">
      <c r="C62" s="73" t="s">
        <v>434</v>
      </c>
      <c r="D62" s="305"/>
      <c r="E62" s="74"/>
      <c r="F62" s="74"/>
      <c r="G62" s="80"/>
      <c r="H62" s="80"/>
      <c r="I62" s="80" t="n">
        <v>316</v>
      </c>
      <c r="J62" s="80"/>
      <c r="K62" s="80" t="n">
        <f aca="false">+I62</f>
        <v>316</v>
      </c>
      <c r="M62" s="39" t="n">
        <f aca="false">-K62</f>
        <v>-316</v>
      </c>
      <c r="N62" s="39" t="n">
        <f aca="false">+K62+M62</f>
        <v>0</v>
      </c>
    </row>
    <row r="63" customFormat="false" ht="26.4" hidden="false" customHeight="false" outlineLevel="0" collapsed="false">
      <c r="C63" s="271" t="s">
        <v>437</v>
      </c>
      <c r="D63" s="305" t="n">
        <v>0</v>
      </c>
      <c r="E63" s="73" t="s">
        <v>418</v>
      </c>
      <c r="F63" s="305" t="n">
        <v>0</v>
      </c>
      <c r="G63" s="82" t="n">
        <v>41</v>
      </c>
      <c r="H63" s="75" t="n">
        <f aca="false">+F63*G63</f>
        <v>0</v>
      </c>
      <c r="I63" s="80"/>
      <c r="J63" s="80"/>
      <c r="K63" s="80" t="n">
        <f aca="false">+H63</f>
        <v>0</v>
      </c>
    </row>
    <row r="64" customFormat="false" ht="26.4" hidden="false" customHeight="false" outlineLevel="0" collapsed="false">
      <c r="C64" s="271" t="s">
        <v>440</v>
      </c>
      <c r="D64" s="305" t="n">
        <v>0</v>
      </c>
      <c r="E64" s="73" t="s">
        <v>418</v>
      </c>
      <c r="F64" s="305" t="n">
        <v>0</v>
      </c>
      <c r="G64" s="82" t="n">
        <v>41</v>
      </c>
      <c r="H64" s="75" t="n">
        <f aca="false">+F64*G64</f>
        <v>0</v>
      </c>
      <c r="I64" s="80"/>
      <c r="J64" s="80"/>
      <c r="K64" s="80" t="n">
        <f aca="false">+H64</f>
        <v>0</v>
      </c>
    </row>
    <row r="65" customFormat="false" ht="13.2" hidden="false" customHeight="false" outlineLevel="0" collapsed="false">
      <c r="C65" s="73" t="s">
        <v>441</v>
      </c>
      <c r="D65" s="280" t="s">
        <v>450</v>
      </c>
      <c r="E65" s="73"/>
      <c r="F65" s="74"/>
      <c r="G65" s="80"/>
      <c r="H65" s="80"/>
      <c r="I65" s="75"/>
      <c r="J65" s="80"/>
      <c r="K65" s="80" t="n">
        <f aca="false">+I65</f>
        <v>0</v>
      </c>
    </row>
    <row r="66" customFormat="false" ht="13.2" hidden="false" customHeight="false" outlineLevel="0" collapsed="false">
      <c r="C66" s="73" t="s">
        <v>443</v>
      </c>
      <c r="D66" s="308"/>
      <c r="E66" s="74"/>
      <c r="F66" s="308"/>
      <c r="G66" s="264"/>
      <c r="H66" s="264"/>
      <c r="I66" s="83"/>
      <c r="J66" s="264"/>
      <c r="K66" s="264" t="n">
        <f aca="false">+I66</f>
        <v>0</v>
      </c>
      <c r="L66" s="52"/>
      <c r="M66" s="52"/>
      <c r="N66" s="52"/>
    </row>
    <row r="67" customFormat="false" ht="13.2" hidden="false" customHeight="false" outlineLevel="0" collapsed="false">
      <c r="C67" s="73" t="s">
        <v>424</v>
      </c>
      <c r="D67" s="313" t="n">
        <f aca="false">SUM(D52:D65)</f>
        <v>277.5</v>
      </c>
      <c r="E67" s="74"/>
      <c r="F67" s="74"/>
      <c r="G67" s="80"/>
      <c r="H67" s="75" t="n">
        <f aca="false">SUM(H55:H66)</f>
        <v>7139</v>
      </c>
      <c r="I67" s="80" t="n">
        <f aca="false">SUM(I55:I66)</f>
        <v>14168</v>
      </c>
      <c r="J67" s="80" t="n">
        <f aca="false">+J53</f>
        <v>0</v>
      </c>
      <c r="K67" s="80" t="n">
        <f aca="false">SUM(K56:K66)</f>
        <v>21307</v>
      </c>
      <c r="L67" s="39" t="n">
        <f aca="false">+K67</f>
        <v>21307</v>
      </c>
      <c r="M67" s="39" t="n">
        <f aca="false">-L67</f>
        <v>-21307</v>
      </c>
      <c r="N67" s="39" t="n">
        <f aca="false">+L67+M67</f>
        <v>0</v>
      </c>
    </row>
    <row r="68" customFormat="false" ht="13.2" hidden="false" customHeight="false" outlineLevel="0" collapsed="false">
      <c r="C68" s="74"/>
      <c r="D68" s="74"/>
      <c r="E68" s="74"/>
      <c r="F68" s="74"/>
      <c r="G68" s="80"/>
      <c r="H68" s="75"/>
      <c r="I68" s="80"/>
      <c r="J68" s="75" t="s">
        <v>136</v>
      </c>
      <c r="K68" s="80" t="n">
        <f aca="false">SUM(H67:J67)</f>
        <v>21307</v>
      </c>
    </row>
    <row r="69" customFormat="false" ht="5.4" hidden="false" customHeight="true" outlineLevel="0" collapsed="false">
      <c r="L69" s="52"/>
      <c r="M69" s="52"/>
      <c r="N69" s="52"/>
    </row>
    <row r="70" customFormat="false" ht="13.2" hidden="false" customHeight="false" outlineLevel="0" collapsed="false">
      <c r="K70" s="39"/>
      <c r="L70" s="39" t="n">
        <f aca="false">+L67+L40</f>
        <v>840226.94</v>
      </c>
      <c r="M70" s="39" t="n">
        <f aca="false">+M67+M40</f>
        <v>-309828.175930213</v>
      </c>
      <c r="N70" s="39" t="n">
        <f aca="false">+N67+N40</f>
        <v>530398.764069787</v>
      </c>
    </row>
    <row r="71" customFormat="false" ht="13.2" hidden="false" customHeight="false" outlineLevel="0" collapsed="false">
      <c r="K71" s="38" t="n">
        <f aca="false">+N70-M70=L70</f>
        <v>1</v>
      </c>
    </row>
    <row r="72" customFormat="false" ht="5.4" hidden="false" customHeight="true" outlineLevel="0" collapsed="false"/>
    <row r="73" customFormat="false" ht="15.6" hidden="false" customHeight="false" outlineLevel="0" collapsed="false">
      <c r="B73" s="43" t="s">
        <v>451</v>
      </c>
    </row>
    <row r="74" customFormat="false" ht="13.2" hidden="false" customHeight="false" outlineLevel="0" collapsed="false">
      <c r="B74" s="73" t="s">
        <v>409</v>
      </c>
      <c r="C74" s="38"/>
      <c r="D74" s="74"/>
      <c r="E74" s="74"/>
      <c r="F74" s="73" t="s">
        <v>410</v>
      </c>
      <c r="G74" s="81" t="s">
        <v>188</v>
      </c>
      <c r="H74" s="75" t="s">
        <v>410</v>
      </c>
      <c r="I74" s="75" t="s">
        <v>411</v>
      </c>
      <c r="J74" s="75" t="s">
        <v>412</v>
      </c>
      <c r="K74" s="75" t="s">
        <v>143</v>
      </c>
    </row>
    <row r="75" customFormat="false" ht="13.2" hidden="false" customHeight="false" outlineLevel="0" collapsed="false">
      <c r="B75" s="73" t="s">
        <v>413</v>
      </c>
      <c r="C75" s="38"/>
      <c r="D75" s="73" t="s">
        <v>414</v>
      </c>
      <c r="E75" s="73" t="s">
        <v>188</v>
      </c>
      <c r="F75" s="73" t="s">
        <v>415</v>
      </c>
      <c r="G75" s="80" t="s">
        <v>199</v>
      </c>
      <c r="H75" s="75" t="s">
        <v>157</v>
      </c>
      <c r="I75" s="75" t="s">
        <v>157</v>
      </c>
      <c r="J75" s="75" t="s">
        <v>157</v>
      </c>
      <c r="K75" s="75" t="s">
        <v>157</v>
      </c>
    </row>
    <row r="76" customFormat="false" ht="13.2" hidden="false" customHeight="false" outlineLevel="0" collapsed="false">
      <c r="B76" s="73" t="s">
        <v>416</v>
      </c>
      <c r="C76" s="38"/>
      <c r="D76" s="74"/>
      <c r="E76" s="74"/>
      <c r="F76" s="74"/>
      <c r="G76" s="80"/>
      <c r="H76" s="80"/>
      <c r="I76" s="75" t="n">
        <f aca="false">+N7</f>
        <v>112789.992</v>
      </c>
      <c r="J76" s="80"/>
      <c r="K76" s="75" t="n">
        <f aca="false">+I76</f>
        <v>112789.992</v>
      </c>
    </row>
    <row r="77" customFormat="false" ht="13.2" hidden="false" customHeight="false" outlineLevel="0" collapsed="false">
      <c r="B77" s="73"/>
      <c r="C77" s="38" t="s">
        <v>452</v>
      </c>
      <c r="D77" s="74"/>
      <c r="E77" s="74"/>
      <c r="F77" s="74"/>
      <c r="G77" s="80"/>
      <c r="H77" s="80"/>
      <c r="I77" s="75"/>
      <c r="J77" s="80"/>
      <c r="K77" s="75"/>
      <c r="M77" s="39" t="n">
        <f aca="false">-K76*0.5</f>
        <v>-56394.996</v>
      </c>
      <c r="N77" s="39" t="n">
        <f aca="false">+K76+M77</f>
        <v>56394.996</v>
      </c>
    </row>
    <row r="78" customFormat="false" ht="13.2" hidden="false" customHeight="false" outlineLevel="0" collapsed="false">
      <c r="B78" s="73" t="s">
        <v>417</v>
      </c>
      <c r="C78" s="38"/>
      <c r="D78" s="304" t="n">
        <f aca="false">+D8+D9+D11+D12</f>
        <v>2562</v>
      </c>
      <c r="E78" s="73" t="s">
        <v>418</v>
      </c>
      <c r="F78" s="305" t="n">
        <f aca="false">+D78</f>
        <v>2562</v>
      </c>
      <c r="G78" s="75" t="n">
        <v>20.4</v>
      </c>
      <c r="H78" s="75" t="n">
        <f aca="false">+N12</f>
        <v>52265.2</v>
      </c>
      <c r="I78" s="80"/>
      <c r="J78" s="80"/>
      <c r="K78" s="75" t="n">
        <f aca="false">+H78</f>
        <v>52265.2</v>
      </c>
    </row>
    <row r="79" customFormat="false" ht="13.2" hidden="false" customHeight="false" outlineLevel="0" collapsed="false">
      <c r="B79" s="38"/>
      <c r="C79" s="330" t="s">
        <v>453</v>
      </c>
      <c r="D79" s="306" t="n">
        <f aca="false">-'Sche 3 (L-Craft, By Trade)'!BT13</f>
        <v>-695.5</v>
      </c>
      <c r="E79" s="73" t="s">
        <v>418</v>
      </c>
      <c r="F79" s="304" t="n">
        <f aca="false">+D79</f>
        <v>-695.5</v>
      </c>
      <c r="G79" s="75" t="n">
        <v>20.4</v>
      </c>
      <c r="M79" s="39" t="n">
        <f aca="false">+F79*G79</f>
        <v>-14188.2</v>
      </c>
    </row>
    <row r="80" customFormat="false" ht="13.2" hidden="false" customHeight="false" outlineLevel="0" collapsed="false">
      <c r="B80" s="38"/>
      <c r="C80" s="330" t="s">
        <v>454</v>
      </c>
      <c r="D80" s="306" t="n">
        <f aca="false">-'Sche 3 (L-Craft, By Trade)'!BT43</f>
        <v>-783</v>
      </c>
      <c r="E80" s="73" t="s">
        <v>418</v>
      </c>
      <c r="F80" s="304" t="n">
        <f aca="false">+D80</f>
        <v>-783</v>
      </c>
      <c r="G80" s="75" t="n">
        <v>20.4</v>
      </c>
      <c r="M80" s="39" t="n">
        <f aca="false">+F80*G78</f>
        <v>-15973.2</v>
      </c>
      <c r="N80" s="39" t="n">
        <f aca="false">+K78+M79+M80</f>
        <v>22103.8</v>
      </c>
    </row>
    <row r="81" customFormat="false" ht="13.2" hidden="false" customHeight="false" outlineLevel="0" collapsed="false">
      <c r="B81" s="73" t="s">
        <v>423</v>
      </c>
      <c r="C81" s="280"/>
      <c r="D81" s="306"/>
      <c r="E81" s="73"/>
      <c r="J81" s="39" t="n">
        <f aca="false">+J13</f>
        <v>111262.48</v>
      </c>
      <c r="K81" s="39" t="n">
        <f aca="false">+J81</f>
        <v>111262.48</v>
      </c>
    </row>
    <row r="82" customFormat="false" ht="13.2" hidden="false" customHeight="false" outlineLevel="0" collapsed="false">
      <c r="B82" s="38"/>
      <c r="C82" s="38" t="s">
        <v>455</v>
      </c>
      <c r="D82" s="307"/>
      <c r="E82" s="183"/>
      <c r="F82" s="308"/>
      <c r="G82" s="264"/>
      <c r="H82" s="264"/>
      <c r="I82" s="264"/>
      <c r="J82" s="83"/>
      <c r="K82" s="83"/>
      <c r="L82" s="52"/>
      <c r="M82" s="39" t="n">
        <f aca="false">+J81*-0.5</f>
        <v>-55631.24</v>
      </c>
      <c r="N82" s="39" t="n">
        <f aca="false">+K81+M82</f>
        <v>55631.24</v>
      </c>
    </row>
    <row r="83" customFormat="false" ht="13.2" hidden="false" customHeight="false" outlineLevel="0" collapsed="false">
      <c r="B83" s="73" t="s">
        <v>424</v>
      </c>
      <c r="C83" s="38"/>
      <c r="D83" s="309" t="n">
        <f aca="false">SUM(D78:D82)</f>
        <v>1083.5</v>
      </c>
      <c r="E83" s="74"/>
      <c r="F83" s="305" t="n">
        <f aca="false">+F78</f>
        <v>2562</v>
      </c>
      <c r="H83" s="75" t="n">
        <f aca="false">+H78</f>
        <v>52265.2</v>
      </c>
      <c r="I83" s="75" t="n">
        <f aca="false">+I76</f>
        <v>112789.992</v>
      </c>
      <c r="J83" s="80" t="n">
        <f aca="false">+J82</f>
        <v>0</v>
      </c>
      <c r="K83" s="75" t="n">
        <f aca="false">+K76+K78+K81</f>
        <v>276317.672</v>
      </c>
      <c r="L83" s="39" t="n">
        <f aca="false">+K83</f>
        <v>276317.672</v>
      </c>
    </row>
    <row r="84" customFormat="false" ht="5.4" hidden="false" customHeight="true" outlineLevel="0" collapsed="false">
      <c r="B84" s="73"/>
      <c r="C84" s="38"/>
      <c r="D84" s="74"/>
      <c r="E84" s="74"/>
      <c r="F84" s="305"/>
      <c r="H84" s="75"/>
      <c r="I84" s="75"/>
      <c r="J84" s="80"/>
      <c r="K84" s="75"/>
    </row>
    <row r="85" customFormat="false" ht="13.2" hidden="false" customHeight="false" outlineLevel="0" collapsed="false">
      <c r="B85" s="73" t="s">
        <v>425</v>
      </c>
      <c r="C85" s="38"/>
      <c r="D85" s="310" t="n">
        <f aca="false">+F83*0.1</f>
        <v>256.2</v>
      </c>
      <c r="E85" s="74"/>
      <c r="F85" s="331" t="n">
        <f aca="false">+D85</f>
        <v>256.2</v>
      </c>
      <c r="G85" s="75" t="n">
        <v>20.4</v>
      </c>
      <c r="H85" s="75" t="n">
        <f aca="false">+N17</f>
        <v>5226.52</v>
      </c>
      <c r="I85" s="80"/>
      <c r="J85" s="80"/>
      <c r="K85" s="75" t="n">
        <f aca="false">+H85</f>
        <v>5226.52</v>
      </c>
    </row>
    <row r="86" customFormat="false" ht="13.2" hidden="false" customHeight="false" outlineLevel="0" collapsed="false">
      <c r="B86" s="73" t="s">
        <v>426</v>
      </c>
      <c r="C86" s="38"/>
      <c r="D86" s="309" t="n">
        <f aca="false">+D83</f>
        <v>1083.5</v>
      </c>
      <c r="E86" s="74"/>
      <c r="F86" s="311" t="n">
        <f aca="false">(D86*0.1)-F85</f>
        <v>-147.85</v>
      </c>
      <c r="G86" s="75" t="n">
        <v>20.4</v>
      </c>
      <c r="H86" s="75"/>
      <c r="I86" s="75"/>
      <c r="J86" s="80"/>
      <c r="K86" s="75"/>
      <c r="M86" s="39" t="n">
        <f aca="false">+F86*G86</f>
        <v>-3016.14</v>
      </c>
      <c r="N86" s="39" t="n">
        <f aca="false">+K85+M86</f>
        <v>2210.38</v>
      </c>
    </row>
    <row r="87" customFormat="false" ht="13.2" hidden="false" customHeight="false" outlineLevel="0" collapsed="false">
      <c r="B87" s="73" t="s">
        <v>449</v>
      </c>
      <c r="C87" s="38"/>
      <c r="D87" s="74"/>
      <c r="E87" s="74"/>
      <c r="F87" s="74"/>
      <c r="G87" s="80"/>
      <c r="H87" s="75" t="n">
        <f aca="false">+N19</f>
        <v>14947.8472</v>
      </c>
      <c r="I87" s="80"/>
      <c r="J87" s="80"/>
      <c r="K87" s="39" t="n">
        <f aca="false">+H87</f>
        <v>14947.8472</v>
      </c>
    </row>
    <row r="88" customFormat="false" ht="13.2" hidden="false" customHeight="false" outlineLevel="0" collapsed="false">
      <c r="B88" s="73" t="s">
        <v>426</v>
      </c>
      <c r="C88" s="38"/>
      <c r="D88" s="81" t="n">
        <f aca="false">+N80+N86</f>
        <v>24314.18</v>
      </c>
      <c r="E88" s="312" t="s">
        <v>428</v>
      </c>
      <c r="F88" s="97" t="n">
        <f aca="false">+D88*0.26</f>
        <v>6321.68680000001</v>
      </c>
      <c r="G88" s="97"/>
      <c r="H88" s="80"/>
      <c r="I88" s="80"/>
      <c r="J88" s="80"/>
      <c r="K88" s="75"/>
      <c r="M88" s="39" t="n">
        <f aca="false">+F88-K87</f>
        <v>-8626.1604</v>
      </c>
      <c r="N88" s="39" t="n">
        <f aca="false">+K87+M88</f>
        <v>6321.68680000001</v>
      </c>
    </row>
    <row r="89" customFormat="false" ht="13.2" hidden="false" customHeight="false" outlineLevel="0" collapsed="false">
      <c r="B89" s="73" t="s">
        <v>429</v>
      </c>
      <c r="C89" s="38"/>
      <c r="D89" s="74"/>
      <c r="E89" s="74"/>
      <c r="F89" s="311"/>
      <c r="G89" s="75" t="n">
        <v>20.4</v>
      </c>
      <c r="H89" s="75"/>
      <c r="I89" s="80"/>
      <c r="J89" s="80"/>
      <c r="K89" s="75"/>
    </row>
    <row r="90" customFormat="false" ht="13.2" hidden="false" customHeight="false" outlineLevel="0" collapsed="false">
      <c r="B90" s="73" t="s">
        <v>430</v>
      </c>
      <c r="C90" s="38"/>
      <c r="D90" s="74"/>
      <c r="E90" s="74"/>
      <c r="F90" s="74"/>
      <c r="G90" s="80"/>
      <c r="H90" s="80"/>
      <c r="I90" s="75" t="n">
        <f aca="false">+N22</f>
        <v>2648.732</v>
      </c>
      <c r="J90" s="80"/>
      <c r="K90" s="75" t="n">
        <f aca="false">+I90</f>
        <v>2648.732</v>
      </c>
    </row>
    <row r="91" customFormat="false" ht="13.2" hidden="false" customHeight="false" outlineLevel="0" collapsed="false">
      <c r="B91" s="280" t="s">
        <v>431</v>
      </c>
      <c r="C91" s="38"/>
      <c r="D91" s="313" t="n">
        <f aca="false">+(F85+F86)+D86</f>
        <v>1191.85</v>
      </c>
      <c r="E91" s="74"/>
      <c r="F91" s="314"/>
      <c r="G91" s="80" t="n">
        <v>0.94</v>
      </c>
      <c r="H91" s="80"/>
      <c r="I91" s="75"/>
      <c r="J91" s="80"/>
      <c r="K91" s="75"/>
      <c r="M91" s="39" t="n">
        <f aca="false">(D91*G91)-I90</f>
        <v>-1528.393</v>
      </c>
      <c r="N91" s="39" t="n">
        <f aca="false">+K90+M91</f>
        <v>1120.339</v>
      </c>
    </row>
    <row r="92" customFormat="false" ht="13.2" hidden="false" customHeight="false" outlineLevel="0" collapsed="false">
      <c r="B92" s="73" t="s">
        <v>432</v>
      </c>
      <c r="C92" s="38"/>
      <c r="D92" s="315"/>
      <c r="E92" s="74"/>
      <c r="F92" s="74"/>
      <c r="G92" s="80"/>
      <c r="H92" s="80"/>
      <c r="I92" s="80" t="n">
        <f aca="false">+N24</f>
        <v>8452.93191489362</v>
      </c>
      <c r="J92" s="80"/>
      <c r="K92" s="80" t="n">
        <f aca="false">+I92</f>
        <v>8452.93191489362</v>
      </c>
    </row>
    <row r="93" customFormat="false" ht="13.2" hidden="false" customHeight="false" outlineLevel="0" collapsed="false">
      <c r="B93" s="280" t="s">
        <v>431</v>
      </c>
      <c r="C93" s="38"/>
      <c r="D93" s="305" t="n">
        <f aca="false">+D91</f>
        <v>1191.85</v>
      </c>
      <c r="E93" s="74"/>
      <c r="F93" s="314"/>
      <c r="G93" s="80" t="n">
        <v>3</v>
      </c>
      <c r="H93" s="80"/>
      <c r="I93" s="80"/>
      <c r="J93" s="80"/>
      <c r="K93" s="80"/>
      <c r="M93" s="39" t="n">
        <f aca="false">(D93*G93)-I92</f>
        <v>-4877.38191489362</v>
      </c>
      <c r="N93" s="39" t="n">
        <f aca="false">+K92+M93</f>
        <v>3575.55</v>
      </c>
    </row>
    <row r="94" customFormat="false" ht="13.2" hidden="false" customHeight="false" outlineLevel="0" collapsed="false">
      <c r="B94" s="73" t="s">
        <v>433</v>
      </c>
      <c r="C94" s="38"/>
      <c r="D94" s="74"/>
      <c r="E94" s="315"/>
      <c r="F94" s="74"/>
      <c r="G94" s="80"/>
      <c r="H94" s="80"/>
      <c r="I94" s="80" t="n">
        <f aca="false">+N26</f>
        <v>7117.93191489362</v>
      </c>
      <c r="J94" s="80"/>
      <c r="K94" s="80" t="n">
        <f aca="false">+I94</f>
        <v>7117.93191489362</v>
      </c>
    </row>
    <row r="95" customFormat="false" ht="13.2" hidden="false" customHeight="false" outlineLevel="0" collapsed="false">
      <c r="B95" s="280" t="s">
        <v>431</v>
      </c>
      <c r="C95" s="38"/>
      <c r="D95" s="313" t="n">
        <f aca="false">+D93</f>
        <v>1191.85</v>
      </c>
      <c r="E95" s="315"/>
      <c r="F95" s="314"/>
      <c r="G95" s="80" t="n">
        <v>3</v>
      </c>
      <c r="H95" s="80"/>
      <c r="I95" s="80"/>
      <c r="J95" s="80"/>
      <c r="K95" s="80"/>
      <c r="M95" s="39" t="n">
        <f aca="false">(D95*G95)-I94</f>
        <v>-3542.38191489362</v>
      </c>
      <c r="N95" s="39" t="n">
        <f aca="false">+K94+M95</f>
        <v>3575.55</v>
      </c>
    </row>
    <row r="96" customFormat="false" ht="13.2" hidden="false" customHeight="false" outlineLevel="0" collapsed="false">
      <c r="B96" s="73" t="s">
        <v>434</v>
      </c>
      <c r="C96" s="38"/>
      <c r="D96" s="305"/>
      <c r="E96" s="74"/>
      <c r="F96" s="74"/>
      <c r="G96" s="80"/>
      <c r="H96" s="80"/>
      <c r="I96" s="75" t="s">
        <v>225</v>
      </c>
      <c r="J96" s="80"/>
      <c r="K96" s="75" t="str">
        <f aca="false">+I96</f>
        <v>n/a</v>
      </c>
      <c r="M96" s="54"/>
    </row>
    <row r="97" customFormat="false" ht="13.2" hidden="false" customHeight="false" outlineLevel="0" collapsed="false">
      <c r="B97" s="73" t="s">
        <v>437</v>
      </c>
      <c r="C97" s="38"/>
      <c r="D97" s="305" t="n">
        <f aca="false">+D28+F29+D30</f>
        <v>1101</v>
      </c>
      <c r="E97" s="73" t="s">
        <v>418</v>
      </c>
      <c r="F97" s="38"/>
      <c r="G97" s="82" t="n">
        <v>41</v>
      </c>
      <c r="H97" s="75" t="n">
        <f aca="false">+N30</f>
        <v>45141</v>
      </c>
      <c r="I97" s="80"/>
      <c r="J97" s="80"/>
      <c r="K97" s="80" t="n">
        <f aca="false">+H97</f>
        <v>45141</v>
      </c>
    </row>
    <row r="98" customFormat="false" ht="13.2" hidden="false" customHeight="false" outlineLevel="0" collapsed="false">
      <c r="B98" s="280" t="s">
        <v>456</v>
      </c>
      <c r="C98" s="274"/>
      <c r="D98" s="311" t="n">
        <f aca="false">+'Schedule 3 (L-Office)'!P85</f>
        <v>344.5</v>
      </c>
      <c r="E98" s="280" t="s">
        <v>418</v>
      </c>
      <c r="F98" s="311"/>
      <c r="G98" s="82" t="n">
        <v>41</v>
      </c>
      <c r="H98" s="318"/>
      <c r="I98" s="319"/>
      <c r="J98" s="319"/>
      <c r="K98" s="319"/>
      <c r="L98" s="320"/>
      <c r="M98" s="332" t="n">
        <f aca="false">-D98*G98</f>
        <v>-14124.5</v>
      </c>
      <c r="N98" s="39" t="n">
        <f aca="false">+K97+M98</f>
        <v>31016.5</v>
      </c>
    </row>
    <row r="99" customFormat="false" ht="13.2" hidden="false" customHeight="false" outlineLevel="0" collapsed="false">
      <c r="B99" s="73" t="s">
        <v>440</v>
      </c>
      <c r="C99" s="38"/>
      <c r="D99" s="305" t="n">
        <f aca="false">+D31+F32+D33</f>
        <v>1959</v>
      </c>
      <c r="E99" s="73" t="s">
        <v>418</v>
      </c>
      <c r="F99" s="305" t="n">
        <f aca="false">+D99</f>
        <v>1959</v>
      </c>
      <c r="G99" s="82" t="n">
        <v>41</v>
      </c>
      <c r="H99" s="75" t="n">
        <f aca="false">+N33</f>
        <v>80319</v>
      </c>
      <c r="I99" s="80"/>
      <c r="J99" s="80"/>
      <c r="K99" s="80" t="n">
        <f aca="false">+H99</f>
        <v>80319</v>
      </c>
      <c r="M99" s="317"/>
    </row>
    <row r="100" customFormat="false" ht="13.2" hidden="false" customHeight="false" outlineLevel="0" collapsed="false">
      <c r="B100" s="280" t="s">
        <v>456</v>
      </c>
      <c r="C100" s="38"/>
      <c r="D100" s="311" t="n">
        <f aca="false">+'Schedule 3 (L-Start)'!Q85</f>
        <v>1174.5</v>
      </c>
      <c r="E100" s="280" t="s">
        <v>418</v>
      </c>
      <c r="F100" s="311"/>
      <c r="G100" s="82" t="n">
        <v>41</v>
      </c>
      <c r="H100" s="75"/>
      <c r="I100" s="80"/>
      <c r="J100" s="80"/>
      <c r="K100" s="80"/>
      <c r="M100" s="332" t="n">
        <f aca="false">+D100*-G100</f>
        <v>-48154.5</v>
      </c>
      <c r="N100" s="39" t="n">
        <f aca="false">+K99+M100</f>
        <v>32164.5</v>
      </c>
    </row>
    <row r="101" customFormat="false" ht="13.2" hidden="false" customHeight="false" outlineLevel="0" collapsed="false">
      <c r="B101" s="73" t="s">
        <v>441</v>
      </c>
      <c r="C101" s="38"/>
      <c r="D101" s="305" t="n">
        <f aca="false">+D97+D99</f>
        <v>3060</v>
      </c>
      <c r="E101" s="73" t="s">
        <v>418</v>
      </c>
      <c r="F101" s="38"/>
      <c r="G101" s="321" t="n">
        <v>5.371</v>
      </c>
      <c r="H101" s="80"/>
      <c r="I101" s="75" t="n">
        <f aca="false">+N35</f>
        <v>16439.427</v>
      </c>
      <c r="J101" s="80"/>
      <c r="K101" s="80" t="n">
        <f aca="false">+I101</f>
        <v>16439.427</v>
      </c>
      <c r="M101" s="317"/>
    </row>
    <row r="102" customFormat="false" ht="13.2" hidden="false" customHeight="false" outlineLevel="0" collapsed="false">
      <c r="B102" s="280" t="s">
        <v>456</v>
      </c>
      <c r="C102" s="38"/>
      <c r="D102" s="311" t="n">
        <f aca="false">+D98+D100</f>
        <v>1519</v>
      </c>
      <c r="E102" s="73"/>
      <c r="F102" s="38"/>
      <c r="G102" s="321" t="n">
        <v>5.371</v>
      </c>
      <c r="H102" s="80"/>
      <c r="I102" s="75"/>
      <c r="J102" s="80"/>
      <c r="K102" s="80"/>
      <c r="M102" s="332" t="n">
        <f aca="false">+D102*-G102</f>
        <v>-8158.549</v>
      </c>
      <c r="N102" s="39" t="n">
        <f aca="false">+K101+M102</f>
        <v>8280.878</v>
      </c>
    </row>
    <row r="103" customFormat="false" ht="13.2" hidden="false" customHeight="false" outlineLevel="0" collapsed="false">
      <c r="B103" s="111" t="s">
        <v>443</v>
      </c>
      <c r="C103" s="38"/>
      <c r="D103" s="322"/>
      <c r="E103" s="322"/>
      <c r="F103" s="117"/>
      <c r="G103" s="323" t="n">
        <v>0.52</v>
      </c>
      <c r="H103" s="267"/>
      <c r="I103" s="127" t="n">
        <f aca="false">+N37</f>
        <v>73787.70204</v>
      </c>
      <c r="J103" s="267"/>
      <c r="K103" s="267" t="n">
        <f aca="false">+I103</f>
        <v>73787.70204</v>
      </c>
    </row>
    <row r="104" customFormat="false" ht="13.2" hidden="false" customHeight="false" outlineLevel="0" collapsed="false">
      <c r="B104" s="280" t="s">
        <v>456</v>
      </c>
      <c r="C104" s="38"/>
      <c r="D104" s="333" t="n">
        <f aca="false">+D102</f>
        <v>1519</v>
      </c>
      <c r="E104" s="324" t="s">
        <v>457</v>
      </c>
      <c r="F104" s="334" t="n">
        <f aca="false">+D104/D101</f>
        <v>0.49640522875817</v>
      </c>
      <c r="G104" s="325"/>
      <c r="H104" s="326"/>
      <c r="I104" s="83"/>
      <c r="J104" s="264"/>
      <c r="K104" s="83" t="s">
        <v>458</v>
      </c>
      <c r="L104" s="52"/>
      <c r="M104" s="39" t="n">
        <f aca="false">+K103*-0.5</f>
        <v>-36893.85102</v>
      </c>
      <c r="N104" s="39" t="n">
        <f aca="false">+K103+M104</f>
        <v>36893.85102</v>
      </c>
    </row>
    <row r="105" customFormat="false" ht="13.2" hidden="false" customHeight="false" outlineLevel="0" collapsed="false">
      <c r="B105" s="73" t="s">
        <v>424</v>
      </c>
      <c r="C105" s="38"/>
      <c r="D105" s="311"/>
      <c r="E105" s="38"/>
      <c r="F105" s="38"/>
      <c r="G105" s="38"/>
      <c r="H105" s="80" t="n">
        <f aca="false">SUM(H85:H104)</f>
        <v>145634.3672</v>
      </c>
      <c r="I105" s="80" t="n">
        <f aca="false">SUM(I85:I104)</f>
        <v>108446.724869787</v>
      </c>
      <c r="J105" s="80" t="n">
        <f aca="false">SUM(J83:J104)</f>
        <v>0</v>
      </c>
      <c r="K105" s="39" t="n">
        <f aca="false">SUM(K85:K103)</f>
        <v>254081.092069787</v>
      </c>
      <c r="L105" s="98" t="n">
        <f aca="false">+K105</f>
        <v>254081.092069787</v>
      </c>
      <c r="M105" s="98"/>
      <c r="N105" s="98"/>
    </row>
    <row r="106" customFormat="false" ht="6.6" hidden="false" customHeight="true" outlineLevel="0" collapsed="false">
      <c r="B106" s="73"/>
      <c r="C106" s="38"/>
      <c r="D106" s="311"/>
      <c r="E106" s="38"/>
      <c r="F106" s="38"/>
      <c r="G106" s="38"/>
      <c r="H106" s="80"/>
      <c r="I106" s="80"/>
      <c r="J106" s="98"/>
      <c r="L106" s="52"/>
      <c r="M106" s="52"/>
      <c r="N106" s="52"/>
    </row>
    <row r="107" customFormat="false" ht="13.2" hidden="false" customHeight="false" outlineLevel="0" collapsed="false">
      <c r="B107" s="73" t="s">
        <v>18</v>
      </c>
      <c r="C107" s="38"/>
      <c r="D107" s="313"/>
      <c r="E107" s="74"/>
      <c r="F107" s="74"/>
      <c r="G107" s="80"/>
      <c r="J107" s="84" t="n">
        <f aca="false">+H105+I105=K105</f>
        <v>1</v>
      </c>
      <c r="K107" s="78" t="n">
        <f aca="false">+L107=-M107+N107</f>
        <v>1</v>
      </c>
      <c r="L107" s="39" t="n">
        <f aca="false">+L83+L105</f>
        <v>530398.764069787</v>
      </c>
      <c r="M107" s="39" t="n">
        <f aca="false">SUM(M76:M106)</f>
        <v>-271109.493249787</v>
      </c>
      <c r="N107" s="39" t="n">
        <f aca="false">SUM(N76:N106)</f>
        <v>259289.27082</v>
      </c>
    </row>
    <row r="108" customFormat="false" ht="13.2" hidden="false" customHeight="false" outlineLevel="0" collapsed="false">
      <c r="H108" s="38" t="s">
        <v>459</v>
      </c>
      <c r="N108" s="52" t="n">
        <f aca="false">+M107*-0.5</f>
        <v>135554.746624894</v>
      </c>
    </row>
    <row r="109" customFormat="false" ht="13.2" hidden="false" customHeight="false" outlineLevel="0" collapsed="false">
      <c r="H109" s="38" t="s">
        <v>234</v>
      </c>
      <c r="N109" s="39" t="n">
        <f aca="false">+N107+N108</f>
        <v>394844.017444894</v>
      </c>
    </row>
  </sheetData>
  <mergeCells count="5">
    <mergeCell ref="F19:G19"/>
    <mergeCell ref="D36:E36"/>
    <mergeCell ref="D37:E37"/>
    <mergeCell ref="F88:G88"/>
    <mergeCell ref="D103:E103"/>
  </mergeCells>
  <printOptions headings="false" gridLines="false" gridLinesSet="true" horizontalCentered="false" verticalCentered="false"/>
  <pageMargins left="0.170138888888889" right="0.229861111111111" top="0.440277777777778" bottom="0.490277777777778" header="0.2" footer="0.25"/>
  <pageSetup paperSize="1" scale="100" fitToWidth="1" fitToHeight="1" pageOrder="downThenOver" orientation="landscape" blackAndWhite="false" draft="false" cellComments="none" horizontalDpi="300" verticalDpi="300" copies="1"/>
  <headerFooter differentFirst="false" differentOddEven="false">
    <oddHeader>&amp;L&amp;"Arial,Bold"&amp;12Doyle Power, LCC - Principal Insured&amp;RThru: &amp;D
Page &amp;P</oddHeader>
    <oddFooter>&amp;L&amp;F&amp;R&amp;A</oddFooter>
  </headerFooter>
  <rowBreaks count="1" manualBreakCount="1">
    <brk id="71" man="true" max="16383" min="0"/>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66"/>
  <sheetViews>
    <sheetView showFormulas="false" showGridLines="true" showRowColHeaders="true" showZeros="true" rightToLeft="false" tabSelected="false" showOutlineSymbols="true" defaultGridColor="true" view="pageBreakPreview" topLeftCell="A1" colorId="64" zoomScale="75" zoomScaleNormal="75" zoomScalePageLayoutView="75" workbookViewId="0">
      <selection pane="topLeft" activeCell="A1" activeCellId="0" sqref="A1"/>
    </sheetView>
  </sheetViews>
  <sheetFormatPr defaultColWidth="10.328125" defaultRowHeight="13.2" customHeight="true" zeroHeight="false" outlineLevelRow="0" outlineLevelCol="0"/>
  <cols>
    <col collapsed="false" customWidth="true" hidden="false" outlineLevel="0" max="2" min="1" style="37" width="3.66"/>
    <col collapsed="false" customWidth="true" hidden="false" outlineLevel="0" max="3" min="3" style="37" width="26.21"/>
    <col collapsed="false" customWidth="true" hidden="false" outlineLevel="0" max="4" min="4" style="37" width="7.66"/>
    <col collapsed="false" customWidth="true" hidden="false" outlineLevel="0" max="5" min="5" style="37" width="5.32"/>
    <col collapsed="false" customWidth="true" hidden="false" outlineLevel="0" max="6" min="6" style="37" width="11.77"/>
    <col collapsed="false" customWidth="true" hidden="false" outlineLevel="0" max="7" min="7" style="37" width="8.99"/>
    <col collapsed="false" customWidth="true" hidden="false" outlineLevel="0" max="8" min="8" style="38" width="10.87"/>
    <col collapsed="false" customWidth="true" hidden="false" outlineLevel="0" max="9" min="9" style="39" width="19.99"/>
    <col collapsed="false" customWidth="true" hidden="false" outlineLevel="0" max="10" min="10" style="39" width="16.55"/>
    <col collapsed="false" customWidth="true" hidden="false" outlineLevel="0" max="11" min="11" style="39" width="17.66"/>
    <col collapsed="false" customWidth="false" hidden="false" outlineLevel="0" max="257" min="12" style="38" width="10.32"/>
  </cols>
  <sheetData>
    <row r="1" customFormat="false" ht="15.6" hidden="false" customHeight="false" outlineLevel="0" collapsed="false">
      <c r="C1" s="41" t="s">
        <v>99</v>
      </c>
      <c r="D1" s="41"/>
      <c r="E1" s="41"/>
      <c r="F1" s="42" t="s">
        <v>460</v>
      </c>
      <c r="G1" s="41"/>
      <c r="H1" s="41"/>
    </row>
    <row r="2" customFormat="false" ht="13.2" hidden="false" customHeight="false" outlineLevel="0" collapsed="false">
      <c r="C2" s="38" t="s">
        <v>25</v>
      </c>
      <c r="D2" s="38"/>
      <c r="E2" s="38"/>
      <c r="F2" s="38"/>
      <c r="G2" s="38"/>
    </row>
    <row r="3" customFormat="false" ht="4.95" hidden="false" customHeight="true" outlineLevel="0" collapsed="false">
      <c r="C3" s="38"/>
      <c r="D3" s="38"/>
      <c r="E3" s="38"/>
      <c r="F3" s="38"/>
      <c r="G3" s="38"/>
    </row>
    <row r="4" customFormat="false" ht="18.6" hidden="false" customHeight="true" outlineLevel="0" collapsed="false">
      <c r="A4" s="43" t="s">
        <v>6</v>
      </c>
      <c r="B4" s="43"/>
      <c r="C4" s="43" t="s">
        <v>26</v>
      </c>
      <c r="D4" s="43"/>
      <c r="E4" s="43"/>
      <c r="F4" s="43"/>
      <c r="G4" s="44"/>
      <c r="H4" s="44"/>
      <c r="I4" s="45" t="s">
        <v>28</v>
      </c>
      <c r="J4" s="45" t="s">
        <v>29</v>
      </c>
      <c r="K4" s="45" t="s">
        <v>30</v>
      </c>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c r="IH4" s="41"/>
      <c r="II4" s="41"/>
      <c r="IJ4" s="41"/>
      <c r="IK4" s="41"/>
      <c r="IL4" s="41"/>
      <c r="IM4" s="41"/>
      <c r="IN4" s="41"/>
      <c r="IO4" s="41"/>
      <c r="IP4" s="41"/>
      <c r="IQ4" s="41"/>
      <c r="IR4" s="41"/>
      <c r="IS4" s="41"/>
      <c r="IT4" s="41"/>
      <c r="IU4" s="41"/>
      <c r="IV4" s="41"/>
      <c r="IW4" s="41"/>
    </row>
    <row r="5" customFormat="false" ht="7.8" hidden="false" customHeight="true" outlineLevel="0" collapsed="false"/>
    <row r="6" customFormat="false" ht="13.2" hidden="false" customHeight="false" outlineLevel="0" collapsed="false">
      <c r="A6" s="37" t="n">
        <v>1</v>
      </c>
      <c r="B6" s="37" t="s">
        <v>461</v>
      </c>
      <c r="D6" s="37" t="s">
        <v>462</v>
      </c>
      <c r="I6" s="39" t="n">
        <v>249</v>
      </c>
      <c r="K6" s="39" t="n">
        <f aca="false">+I6+J6</f>
        <v>249</v>
      </c>
    </row>
    <row r="7" customFormat="false" ht="13.2" hidden="false" customHeight="false" outlineLevel="0" collapsed="false">
      <c r="A7" s="37" t="n">
        <v>2</v>
      </c>
      <c r="B7" s="37" t="s">
        <v>38</v>
      </c>
      <c r="D7" s="37" t="s">
        <v>463</v>
      </c>
      <c r="G7" s="261"/>
      <c r="I7" s="39" t="n">
        <v>15889.29</v>
      </c>
      <c r="K7" s="39" t="n">
        <f aca="false">+I7+J7</f>
        <v>15889.29</v>
      </c>
    </row>
    <row r="8" customFormat="false" ht="13.2" hidden="false" customHeight="false" outlineLevel="0" collapsed="false">
      <c r="A8" s="37" t="n">
        <v>3</v>
      </c>
      <c r="B8" s="37" t="s">
        <v>464</v>
      </c>
      <c r="D8" s="37" t="s">
        <v>465</v>
      </c>
      <c r="G8" s="261" t="s">
        <v>466</v>
      </c>
      <c r="H8" s="39"/>
      <c r="I8" s="39" t="n">
        <v>0</v>
      </c>
      <c r="J8" s="39" t="n">
        <v>0</v>
      </c>
      <c r="K8" s="39" t="n">
        <v>0</v>
      </c>
    </row>
    <row r="9" customFormat="false" ht="13.2" hidden="false" customHeight="false" outlineLevel="0" collapsed="false">
      <c r="A9" s="37" t="n">
        <v>4</v>
      </c>
      <c r="B9" s="37" t="s">
        <v>467</v>
      </c>
      <c r="D9" s="37" t="s">
        <v>468</v>
      </c>
      <c r="I9" s="39" t="n">
        <v>9811.04</v>
      </c>
      <c r="K9" s="39" t="n">
        <f aca="false">+I9+J9</f>
        <v>9811.04</v>
      </c>
    </row>
    <row r="10" customFormat="false" ht="13.2" hidden="false" customHeight="false" outlineLevel="0" collapsed="false">
      <c r="A10" s="37" t="n">
        <v>5</v>
      </c>
      <c r="B10" s="37" t="s">
        <v>469</v>
      </c>
      <c r="D10" s="37" t="s">
        <v>470</v>
      </c>
      <c r="I10" s="39" t="n">
        <v>10310</v>
      </c>
      <c r="K10" s="39" t="n">
        <f aca="false">+I10+J10</f>
        <v>10310</v>
      </c>
    </row>
    <row r="11" customFormat="false" ht="13.2" hidden="false" customHeight="false" outlineLevel="0" collapsed="false">
      <c r="A11" s="37" t="n">
        <v>6</v>
      </c>
      <c r="B11" s="37" t="s">
        <v>471</v>
      </c>
      <c r="D11" s="37" t="s">
        <v>472</v>
      </c>
      <c r="I11" s="39" t="n">
        <v>5038.16</v>
      </c>
      <c r="K11" s="39" t="n">
        <f aca="false">+I11+J11</f>
        <v>5038.16</v>
      </c>
    </row>
    <row r="12" customFormat="false" ht="13.2" hidden="false" customHeight="false" outlineLevel="0" collapsed="false">
      <c r="A12" s="37" t="n">
        <v>7</v>
      </c>
      <c r="B12" s="37" t="s">
        <v>473</v>
      </c>
      <c r="D12" s="37" t="s">
        <v>463</v>
      </c>
      <c r="I12" s="39" t="n">
        <v>12881.82</v>
      </c>
      <c r="K12" s="39" t="n">
        <f aca="false">+I12+J12</f>
        <v>12881.82</v>
      </c>
    </row>
    <row r="13" customFormat="false" ht="13.2" hidden="false" customHeight="false" outlineLevel="0" collapsed="false">
      <c r="A13" s="37" t="n">
        <v>8</v>
      </c>
      <c r="B13" s="37" t="s">
        <v>474</v>
      </c>
      <c r="D13" s="37" t="s">
        <v>475</v>
      </c>
      <c r="G13" s="261"/>
      <c r="I13" s="39" t="n">
        <v>26297.5</v>
      </c>
      <c r="K13" s="39" t="n">
        <f aca="false">+I13+J13</f>
        <v>26297.5</v>
      </c>
    </row>
    <row r="14" customFormat="false" ht="13.2" hidden="false" customHeight="false" outlineLevel="0" collapsed="false">
      <c r="A14" s="37" t="n">
        <v>9</v>
      </c>
      <c r="B14" s="37" t="s">
        <v>476</v>
      </c>
      <c r="D14" s="37" t="s">
        <v>477</v>
      </c>
      <c r="I14" s="39" t="n">
        <v>984.34</v>
      </c>
      <c r="K14" s="39" t="n">
        <f aca="false">+I14+J14</f>
        <v>984.34</v>
      </c>
    </row>
    <row r="15" customFormat="false" ht="13.2" hidden="false" customHeight="false" outlineLevel="0" collapsed="false">
      <c r="A15" s="37" t="n">
        <v>10</v>
      </c>
      <c r="B15" s="37" t="s">
        <v>478</v>
      </c>
      <c r="D15" s="37" t="s">
        <v>479</v>
      </c>
      <c r="I15" s="39" t="n">
        <v>440.36</v>
      </c>
      <c r="K15" s="39" t="n">
        <f aca="false">+I15+J15</f>
        <v>440.36</v>
      </c>
    </row>
    <row r="16" customFormat="false" ht="13.2" hidden="false" customHeight="false" outlineLevel="0" collapsed="false">
      <c r="A16" s="37" t="n">
        <v>11</v>
      </c>
      <c r="B16" s="37" t="s">
        <v>480</v>
      </c>
      <c r="D16" s="37" t="s">
        <v>463</v>
      </c>
      <c r="I16" s="39" t="n">
        <v>517</v>
      </c>
      <c r="K16" s="39" t="n">
        <f aca="false">+I16+J16</f>
        <v>517</v>
      </c>
    </row>
    <row r="17" customFormat="false" ht="13.2" hidden="false" customHeight="false" outlineLevel="0" collapsed="false">
      <c r="A17" s="37" t="n">
        <v>12</v>
      </c>
      <c r="B17" s="37" t="s">
        <v>481</v>
      </c>
      <c r="D17" s="37" t="s">
        <v>463</v>
      </c>
      <c r="H17" s="335" t="s">
        <v>482</v>
      </c>
      <c r="I17" s="39" t="n">
        <v>1015</v>
      </c>
      <c r="J17" s="39" t="n">
        <f aca="false">-I17</f>
        <v>-1015</v>
      </c>
      <c r="K17" s="39" t="n">
        <f aca="false">+I17+J17</f>
        <v>0</v>
      </c>
    </row>
    <row r="18" customFormat="false" ht="13.2" hidden="false" customHeight="false" outlineLevel="0" collapsed="false">
      <c r="A18" s="37" t="n">
        <v>13</v>
      </c>
      <c r="B18" s="37" t="s">
        <v>483</v>
      </c>
      <c r="D18" s="37" t="s">
        <v>484</v>
      </c>
      <c r="G18" s="336"/>
      <c r="H18" s="336"/>
      <c r="I18" s="39" t="n">
        <v>717.16</v>
      </c>
      <c r="K18" s="39" t="n">
        <f aca="false">+I18+J18</f>
        <v>717.16</v>
      </c>
    </row>
    <row r="19" customFormat="false" ht="13.2" hidden="false" customHeight="false" outlineLevel="0" collapsed="false">
      <c r="A19" s="37" t="n">
        <v>14</v>
      </c>
      <c r="B19" s="37" t="s">
        <v>485</v>
      </c>
      <c r="D19" s="37" t="s">
        <v>486</v>
      </c>
      <c r="G19" s="336"/>
      <c r="H19" s="336"/>
      <c r="I19" s="39" t="n">
        <v>1146.53</v>
      </c>
      <c r="K19" s="39" t="n">
        <f aca="false">+I19+J19</f>
        <v>1146.53</v>
      </c>
    </row>
    <row r="20" customFormat="false" ht="13.2" hidden="false" customHeight="true" outlineLevel="0" collapsed="false">
      <c r="A20" s="37" t="n">
        <v>15</v>
      </c>
      <c r="B20" s="37" t="s">
        <v>487</v>
      </c>
      <c r="D20" s="37" t="s">
        <v>488</v>
      </c>
      <c r="G20" s="336"/>
      <c r="H20" s="336"/>
      <c r="I20" s="39" t="n">
        <v>6298.34</v>
      </c>
      <c r="K20" s="39" t="n">
        <f aca="false">+I20+J20</f>
        <v>6298.34</v>
      </c>
    </row>
    <row r="21" customFormat="false" ht="13.2" hidden="false" customHeight="false" outlineLevel="0" collapsed="false">
      <c r="A21" s="37" t="n">
        <v>16</v>
      </c>
      <c r="B21" s="37" t="s">
        <v>489</v>
      </c>
      <c r="D21" s="37" t="s">
        <v>490</v>
      </c>
      <c r="G21" s="261"/>
      <c r="H21" s="335" t="s">
        <v>491</v>
      </c>
      <c r="I21" s="39" t="n">
        <f aca="false">14554.88</f>
        <v>14554.88</v>
      </c>
      <c r="J21" s="39" t="n">
        <v>-5000</v>
      </c>
      <c r="K21" s="39" t="n">
        <f aca="false">+I21</f>
        <v>14554.88</v>
      </c>
    </row>
    <row r="22" customFormat="false" ht="7.8" hidden="false" customHeight="true" outlineLevel="0" collapsed="false">
      <c r="F22" s="39"/>
      <c r="G22" s="261"/>
    </row>
    <row r="23" customFormat="false" ht="13.2" hidden="false" customHeight="false" outlineLevel="0" collapsed="false">
      <c r="A23" s="37" t="n">
        <v>17</v>
      </c>
      <c r="B23" s="37" t="s">
        <v>492</v>
      </c>
      <c r="I23" s="39" t="n">
        <f aca="false">41120.44-7318.77-1594.79-500-4898-0.84</f>
        <v>26808.04</v>
      </c>
      <c r="K23" s="39" t="n">
        <f aca="false">+I23+J23</f>
        <v>26808.04</v>
      </c>
    </row>
    <row r="24" customFormat="false" ht="13.2" hidden="false" customHeight="false" outlineLevel="0" collapsed="false">
      <c r="C24" s="37" t="s">
        <v>493</v>
      </c>
      <c r="D24" s="37" t="s">
        <v>494</v>
      </c>
      <c r="G24" s="261" t="s">
        <v>495</v>
      </c>
    </row>
    <row r="25" customFormat="false" ht="13.2" hidden="false" customHeight="false" outlineLevel="0" collapsed="false">
      <c r="F25" s="337" t="n">
        <v>0</v>
      </c>
      <c r="G25" s="261"/>
    </row>
    <row r="26" customFormat="false" ht="13.2" hidden="false" customHeight="false" outlineLevel="0" collapsed="false">
      <c r="C26" s="37" t="s">
        <v>496</v>
      </c>
      <c r="D26" s="37" t="s">
        <v>497</v>
      </c>
      <c r="G26" s="261" t="s">
        <v>498</v>
      </c>
    </row>
    <row r="27" customFormat="false" ht="13.2" hidden="false" customHeight="false" outlineLevel="0" collapsed="false">
      <c r="F27" s="337" t="n">
        <v>0</v>
      </c>
    </row>
    <row r="28" customFormat="false" ht="13.2" hidden="false" customHeight="false" outlineLevel="0" collapsed="false">
      <c r="C28" s="37" t="s">
        <v>499</v>
      </c>
      <c r="D28" s="37" t="s">
        <v>500</v>
      </c>
      <c r="G28" s="261" t="s">
        <v>501</v>
      </c>
      <c r="H28" s="337"/>
    </row>
    <row r="29" customFormat="false" ht="13.2" hidden="false" customHeight="false" outlineLevel="0" collapsed="false">
      <c r="F29" s="337" t="n">
        <v>0</v>
      </c>
      <c r="G29" s="261" t="s">
        <v>502</v>
      </c>
    </row>
    <row r="30" customFormat="false" ht="13.2" hidden="false" customHeight="false" outlineLevel="0" collapsed="false">
      <c r="C30" s="37" t="s">
        <v>503</v>
      </c>
      <c r="D30" s="37" t="s">
        <v>504</v>
      </c>
      <c r="G30" s="261" t="s">
        <v>505</v>
      </c>
      <c r="H30" s="337"/>
    </row>
    <row r="31" customFormat="false" ht="13.2" hidden="false" customHeight="false" outlineLevel="0" collapsed="false">
      <c r="F31" s="337" t="n">
        <v>0</v>
      </c>
      <c r="G31" s="261" t="s">
        <v>506</v>
      </c>
    </row>
    <row r="32" customFormat="false" ht="13.2" hidden="false" customHeight="false" outlineLevel="0" collapsed="false">
      <c r="C32" s="37" t="s">
        <v>507</v>
      </c>
      <c r="D32" s="37" t="s">
        <v>508</v>
      </c>
      <c r="H32" s="337" t="n">
        <v>7740</v>
      </c>
      <c r="J32" s="39" t="n">
        <f aca="false">-H32</f>
        <v>-7740</v>
      </c>
      <c r="K32" s="39" t="n">
        <f aca="false">+I32+J32</f>
        <v>-7740</v>
      </c>
    </row>
    <row r="33" customFormat="false" ht="13.2" hidden="false" customHeight="false" outlineLevel="0" collapsed="false">
      <c r="G33" s="261" t="s">
        <v>509</v>
      </c>
    </row>
    <row r="34" customFormat="false" ht="13.2" hidden="false" customHeight="false" outlineLevel="0" collapsed="false">
      <c r="C34" s="37" t="s">
        <v>510</v>
      </c>
      <c r="D34" s="37" t="s">
        <v>511</v>
      </c>
      <c r="H34" s="38" t="n">
        <f aca="false">3512.38*0.4</f>
        <v>1404.952</v>
      </c>
      <c r="J34" s="39" t="n">
        <f aca="false">-H34</f>
        <v>-1404.952</v>
      </c>
      <c r="K34" s="39" t="n">
        <f aca="false">+I34+J34</f>
        <v>-1404.952</v>
      </c>
    </row>
    <row r="35" customFormat="false" ht="13.2" hidden="false" customHeight="false" outlineLevel="0" collapsed="false">
      <c r="G35" s="261" t="s">
        <v>512</v>
      </c>
    </row>
    <row r="36" customFormat="false" ht="13.2" hidden="false" customHeight="false" outlineLevel="0" collapsed="false">
      <c r="C36" s="37" t="s">
        <v>513</v>
      </c>
      <c r="D36" s="37" t="s">
        <v>511</v>
      </c>
      <c r="H36" s="38" t="n">
        <f aca="false">9711.29*0.4</f>
        <v>3884.516</v>
      </c>
      <c r="J36" s="39" t="n">
        <f aca="false">-H36</f>
        <v>-3884.516</v>
      </c>
      <c r="K36" s="39" t="n">
        <f aca="false">+I36+J36</f>
        <v>-3884.516</v>
      </c>
    </row>
    <row r="37" customFormat="false" ht="13.2" hidden="false" customHeight="false" outlineLevel="0" collapsed="false">
      <c r="G37" s="261" t="s">
        <v>512</v>
      </c>
    </row>
    <row r="38" customFormat="false" ht="13.2" hidden="false" customHeight="false" outlineLevel="0" collapsed="false">
      <c r="C38" s="37" t="s">
        <v>514</v>
      </c>
      <c r="D38" s="37" t="s">
        <v>515</v>
      </c>
      <c r="H38" s="38" t="n">
        <v>459.11</v>
      </c>
      <c r="K38" s="39" t="n">
        <f aca="false">+I38+J38</f>
        <v>0</v>
      </c>
    </row>
    <row r="39" customFormat="false" ht="13.2" hidden="false" customHeight="false" outlineLevel="0" collapsed="false">
      <c r="G39" s="261"/>
    </row>
    <row r="40" customFormat="false" ht="13.2" hidden="false" customHeight="false" outlineLevel="0" collapsed="false">
      <c r="C40" s="37" t="s">
        <v>516</v>
      </c>
      <c r="D40" s="37" t="s">
        <v>517</v>
      </c>
      <c r="H40" s="38" t="n">
        <v>1124</v>
      </c>
      <c r="J40" s="39" t="n">
        <f aca="false">-H40</f>
        <v>-1124</v>
      </c>
      <c r="K40" s="39" t="n">
        <f aca="false">+I40+J40</f>
        <v>-1124</v>
      </c>
    </row>
    <row r="41" customFormat="false" ht="13.2" hidden="false" customHeight="false" outlineLevel="0" collapsed="false">
      <c r="G41" s="261" t="s">
        <v>518</v>
      </c>
    </row>
    <row r="42" customFormat="false" ht="13.2" hidden="false" customHeight="false" outlineLevel="0" collapsed="false">
      <c r="C42" s="37" t="s">
        <v>519</v>
      </c>
      <c r="D42" s="37" t="s">
        <v>520</v>
      </c>
      <c r="H42" s="38" t="n">
        <v>3000</v>
      </c>
      <c r="K42" s="39" t="n">
        <f aca="false">+I42+J42</f>
        <v>0</v>
      </c>
    </row>
    <row r="43" customFormat="false" ht="13.2" hidden="false" customHeight="false" outlineLevel="0" collapsed="false">
      <c r="G43" s="261"/>
    </row>
    <row r="44" customFormat="false" ht="13.2" hidden="false" customHeight="false" outlineLevel="0" collapsed="false">
      <c r="C44" s="37" t="s">
        <v>521</v>
      </c>
      <c r="D44" s="37" t="s">
        <v>522</v>
      </c>
      <c r="H44" s="38" t="n">
        <v>895</v>
      </c>
      <c r="K44" s="39" t="n">
        <f aca="false">+I44+J44</f>
        <v>0</v>
      </c>
    </row>
    <row r="45" customFormat="false" ht="13.2" hidden="false" customHeight="false" outlineLevel="0" collapsed="false">
      <c r="G45" s="261"/>
    </row>
    <row r="46" customFormat="false" ht="13.2" hidden="false" customHeight="false" outlineLevel="0" collapsed="false">
      <c r="I46" s="52"/>
      <c r="J46" s="52"/>
      <c r="K46" s="52"/>
    </row>
    <row r="47" customFormat="false" ht="13.2" hidden="false" customHeight="false" outlineLevel="0" collapsed="false">
      <c r="I47" s="39" t="n">
        <f aca="false">SUM(I6:I46)</f>
        <v>132958.46</v>
      </c>
      <c r="J47" s="39" t="n">
        <f aca="false">SUM(J6:J46)</f>
        <v>-20168.468</v>
      </c>
      <c r="K47" s="39" t="n">
        <f aca="false">SUM(K6:K46)</f>
        <v>117789.992</v>
      </c>
    </row>
    <row r="48" customFormat="false" ht="13.2" hidden="false" customHeight="false" outlineLevel="0" collapsed="false">
      <c r="B48" s="67" t="s">
        <v>523</v>
      </c>
      <c r="D48" s="338" t="s">
        <v>524</v>
      </c>
      <c r="E48" s="338"/>
      <c r="F48" s="339" t="s">
        <v>525</v>
      </c>
      <c r="G48" s="339" t="s">
        <v>526</v>
      </c>
      <c r="H48" s="338" t="s">
        <v>527</v>
      </c>
    </row>
    <row r="49" customFormat="false" ht="13.2" hidden="false" customHeight="false" outlineLevel="0" collapsed="false">
      <c r="B49" s="37" t="s">
        <v>528</v>
      </c>
      <c r="D49" s="340" t="n">
        <v>2600</v>
      </c>
      <c r="F49" s="47" t="n">
        <v>1</v>
      </c>
      <c r="G49" s="47" t="s">
        <v>529</v>
      </c>
      <c r="H49" s="39" t="n">
        <v>2756</v>
      </c>
    </row>
    <row r="50" customFormat="false" ht="13.2" hidden="false" customHeight="false" outlineLevel="0" collapsed="false">
      <c r="B50" s="37" t="s">
        <v>530</v>
      </c>
      <c r="D50" s="340" t="n">
        <v>4500</v>
      </c>
      <c r="F50" s="47" t="n">
        <v>1</v>
      </c>
      <c r="G50" s="47" t="s">
        <v>531</v>
      </c>
      <c r="H50" s="39" t="n">
        <v>4500</v>
      </c>
    </row>
    <row r="51" customFormat="false" ht="13.2" hidden="false" customHeight="false" outlineLevel="0" collapsed="false">
      <c r="B51" s="37" t="s">
        <v>532</v>
      </c>
      <c r="D51" s="340" t="s">
        <v>533</v>
      </c>
      <c r="F51" s="47" t="n">
        <v>1</v>
      </c>
      <c r="G51" s="47" t="s">
        <v>531</v>
      </c>
      <c r="H51" s="39" t="n">
        <v>82373</v>
      </c>
    </row>
    <row r="52" customFormat="false" ht="13.2" hidden="false" customHeight="false" outlineLevel="0" collapsed="false">
      <c r="B52" s="37" t="s">
        <v>534</v>
      </c>
      <c r="D52" s="340" t="n">
        <v>1700</v>
      </c>
      <c r="F52" s="47" t="n">
        <v>1</v>
      </c>
      <c r="G52" s="47" t="s">
        <v>535</v>
      </c>
      <c r="H52" s="39" t="n">
        <v>1969</v>
      </c>
    </row>
    <row r="53" customFormat="false" ht="13.2" hidden="false" customHeight="false" outlineLevel="0" collapsed="false">
      <c r="B53" s="37" t="s">
        <v>536</v>
      </c>
      <c r="D53" s="340" t="n">
        <v>150</v>
      </c>
      <c r="F53" s="47" t="n">
        <v>1</v>
      </c>
      <c r="G53" s="47" t="s">
        <v>529</v>
      </c>
      <c r="H53" s="39" t="n">
        <v>161</v>
      </c>
    </row>
    <row r="54" customFormat="false" ht="13.2" hidden="false" customHeight="false" outlineLevel="0" collapsed="false">
      <c r="B54" s="37" t="s">
        <v>537</v>
      </c>
      <c r="D54" s="340" t="n">
        <v>105</v>
      </c>
      <c r="F54" s="47" t="n">
        <v>2</v>
      </c>
      <c r="G54" s="47" t="s">
        <v>538</v>
      </c>
      <c r="H54" s="39" t="n">
        <v>917.08</v>
      </c>
    </row>
    <row r="55" customFormat="false" ht="13.2" hidden="false" customHeight="false" outlineLevel="0" collapsed="false">
      <c r="B55" s="37" t="s">
        <v>539</v>
      </c>
      <c r="D55" s="340" t="n">
        <v>905</v>
      </c>
      <c r="F55" s="47" t="n">
        <v>2</v>
      </c>
      <c r="G55" s="47" t="s">
        <v>540</v>
      </c>
      <c r="H55" s="39" t="n">
        <v>752.6</v>
      </c>
    </row>
    <row r="56" customFormat="false" ht="13.2" hidden="false" customHeight="true" outlineLevel="0" collapsed="false">
      <c r="B56" s="298" t="s">
        <v>541</v>
      </c>
      <c r="C56" s="298"/>
      <c r="D56" s="340" t="n">
        <v>550</v>
      </c>
      <c r="F56" s="47" t="n">
        <v>1</v>
      </c>
      <c r="G56" s="47" t="s">
        <v>535</v>
      </c>
      <c r="H56" s="39" t="n">
        <v>2213</v>
      </c>
    </row>
    <row r="57" customFormat="false" ht="13.2" hidden="false" customHeight="false" outlineLevel="0" collapsed="false">
      <c r="B57" s="37" t="s">
        <v>542</v>
      </c>
      <c r="D57" s="340" t="n">
        <v>125</v>
      </c>
      <c r="F57" s="47" t="n">
        <v>2</v>
      </c>
      <c r="G57" s="47" t="s">
        <v>529</v>
      </c>
      <c r="H57" s="39" t="n">
        <v>370</v>
      </c>
    </row>
    <row r="58" customFormat="false" ht="13.2" hidden="false" customHeight="false" outlineLevel="0" collapsed="false">
      <c r="B58" s="37" t="s">
        <v>543</v>
      </c>
      <c r="D58" s="340" t="n">
        <v>400</v>
      </c>
      <c r="F58" s="47" t="n">
        <v>2</v>
      </c>
      <c r="G58" s="47" t="s">
        <v>529</v>
      </c>
      <c r="H58" s="39" t="n">
        <v>800</v>
      </c>
    </row>
    <row r="59" customFormat="false" ht="13.2" hidden="false" customHeight="false" outlineLevel="0" collapsed="false">
      <c r="B59" s="37" t="s">
        <v>544</v>
      </c>
      <c r="D59" s="340" t="n">
        <v>860</v>
      </c>
      <c r="F59" s="47" t="n">
        <v>1</v>
      </c>
      <c r="G59" s="47" t="s">
        <v>531</v>
      </c>
      <c r="H59" s="39" t="n">
        <v>1282.6</v>
      </c>
    </row>
    <row r="60" customFormat="false" ht="13.2" hidden="false" customHeight="false" outlineLevel="0" collapsed="false">
      <c r="B60" s="37" t="s">
        <v>545</v>
      </c>
      <c r="D60" s="340" t="n">
        <v>425</v>
      </c>
      <c r="F60" s="47" t="n">
        <v>1</v>
      </c>
      <c r="G60" s="47" t="s">
        <v>529</v>
      </c>
      <c r="H60" s="39" t="n">
        <v>425</v>
      </c>
    </row>
    <row r="61" customFormat="false" ht="13.2" hidden="false" customHeight="false" outlineLevel="0" collapsed="false">
      <c r="B61" s="37" t="s">
        <v>546</v>
      </c>
      <c r="D61" s="340" t="n">
        <v>250</v>
      </c>
      <c r="F61" s="47" t="n">
        <v>2</v>
      </c>
      <c r="G61" s="47" t="s">
        <v>547</v>
      </c>
      <c r="H61" s="39" t="n">
        <v>750</v>
      </c>
    </row>
    <row r="62" customFormat="false" ht="13.2" hidden="false" customHeight="false" outlineLevel="0" collapsed="false">
      <c r="B62" s="37" t="s">
        <v>548</v>
      </c>
      <c r="D62" s="340" t="n">
        <v>4502</v>
      </c>
      <c r="F62" s="47" t="n">
        <v>1</v>
      </c>
      <c r="G62" s="47" t="s">
        <v>549</v>
      </c>
      <c r="H62" s="39" t="n">
        <v>0</v>
      </c>
    </row>
    <row r="63" customFormat="false" ht="13.2" hidden="false" customHeight="false" outlineLevel="0" collapsed="false">
      <c r="D63" s="340"/>
      <c r="F63" s="47"/>
      <c r="G63" s="39" t="n">
        <v>9004</v>
      </c>
      <c r="H63" s="335" t="s">
        <v>436</v>
      </c>
    </row>
    <row r="64" customFormat="false" ht="13.2" hidden="false" customHeight="false" outlineLevel="0" collapsed="false">
      <c r="B64" s="37" t="s">
        <v>550</v>
      </c>
      <c r="D64" s="340" t="n">
        <v>11993</v>
      </c>
      <c r="F64" s="47" t="n">
        <v>1</v>
      </c>
      <c r="G64" s="47" t="s">
        <v>551</v>
      </c>
      <c r="H64" s="77" t="n">
        <v>11993.2</v>
      </c>
    </row>
    <row r="65" customFormat="false" ht="13.2" hidden="false" customHeight="false" outlineLevel="0" collapsed="false">
      <c r="H65" s="39" t="n">
        <f aca="false">SUM(H49:H64)</f>
        <v>111262.48</v>
      </c>
    </row>
    <row r="66" customFormat="false" ht="13.2" hidden="false" customHeight="false" outlineLevel="0" collapsed="false">
      <c r="H66" s="39"/>
    </row>
  </sheetData>
  <mergeCells count="4">
    <mergeCell ref="G18:H18"/>
    <mergeCell ref="G19:H19"/>
    <mergeCell ref="G20:H20"/>
    <mergeCell ref="B56:C56"/>
  </mergeCells>
  <printOptions headings="false" gridLines="false" gridLinesSet="true" horizontalCentered="false" verticalCentered="false"/>
  <pageMargins left="0.170138888888889" right="0.559722222222222" top="0.479861111111111" bottom="0.490277777777778" header="0.2" footer="0.25"/>
  <pageSetup paperSize="1" scale="100" fitToWidth="1" fitToHeight="1" pageOrder="downThenOver" orientation="landscape" blackAndWhite="false" draft="false" cellComments="none" horizontalDpi="300" verticalDpi="300" copies="1"/>
  <headerFooter differentFirst="false" differentOddEven="false">
    <oddHeader>&amp;L&amp;"Arial,Bold"&amp;12Doyle Power, LCC - Principal Insured&amp;RThru: &amp;D
Page &amp;P</oddHeader>
    <oddFooter>&amp;L&amp;F&amp;R&amp;A</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2000-11-13T17:24:45Z</dcterms:created>
  <dc:creator/>
  <dc:description/>
  <dc:language>en-US</dc:language>
  <cp:lastModifiedBy>Claude C. Chandler, FM Global</cp:lastModifiedBy>
  <cp:lastPrinted>2001-02-23T19:11:55Z</cp:lastPrinted>
  <cp:revision>0</cp:revision>
  <dc:subject/>
  <dc:title/>
</cp:coreProperties>
</file>