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nce Assumptions" sheetId="1" state="visible" r:id="rId3"/>
    <sheet name="Inputs-Summary" sheetId="2" state="visible" r:id="rId4"/>
    <sheet name="Prepay" sheetId="3" state="visible" r:id="rId5"/>
    <sheet name="Delta Swap" sheetId="4" state="visible" r:id="rId6"/>
    <sheet name="Service Fee Swap" sheetId="5" state="visible" r:id="rId7"/>
    <sheet name="Curves" sheetId="6" state="visible" r:id="rId8"/>
  </sheets>
  <externalReferences>
    <externalReference r:id="rId9"/>
    <externalReference r:id="rId10"/>
  </externalReferences>
  <definedNames>
    <definedName function="false" hidden="false" name="BasisIndexWarning" vbProcedure="false">OFFSET(#REF!,0,0,1,COUNT(Curves!$17:$17))</definedName>
    <definedName function="false" hidden="false" name="buckettable" vbProcedure="false">[2]DateTable!$D$4:$F$288</definedName>
    <definedName function="false" hidden="false" name="correlationone" vbProcedure="false">OFFSET([1]Intracorrel!$A$2,0,0,COUNT([1]Intracorrel!$A$1:$A$1048576)+2,COUNT([1]Intracorrel!$A$5:$XFD$5))</definedName>
    <definedName function="false" hidden="false" name="correlationtwo" vbProcedure="false">OFFSET([1]Intercorrel!$A$1,0,0,COUNT([1]Intercorrel!$A$1:$A$1048576),COUNT([1]Intercorrel!$A$3:$XFD$3))</definedName>
    <definedName function="false" hidden="false" name="correlfrom" vbProcedure="false">OFFSET([1]Intracorrel!$A$2,0,0,1,COUNT(correlmatchline))</definedName>
    <definedName function="false" hidden="false" name="correlmatchline" vbProcedure="false">OFFSET([1]Intracorrel!$A$1,0,0,1,COUNT([1]Intracorrel!$A$1:$XFD$1))</definedName>
    <definedName function="false" hidden="false" name="correlto" vbProcedure="false">OFFSET([1]Intracorrel!$A$3,0,0,1,COUNT(correlmatchline))</definedName>
    <definedName function="false" hidden="false" name="CurveCode" vbProcedure="false">OFFSET(Curves!$C$13,0,0,1,COUNT(Curves!$17:$17))</definedName>
    <definedName function="false" hidden="false" name="CurveCodes" vbProcedure="false">Curves!$C$13:$Z$13</definedName>
    <definedName function="false" hidden="false" name="CurveMonth" vbProcedure="false">Curves!$C$8:$C$400</definedName>
    <definedName function="false" hidden="false" name="CurveRange" vbProcedure="false">Curves!$D$11</definedName>
    <definedName function="false" hidden="false" name="Curves" vbProcedure="false">Curves!$C$8:$Z$8</definedName>
    <definedName function="false" hidden="false" name="CurveTable" vbProcedure="false">Curves!$C$8:$Z$443</definedName>
    <definedName function="false" hidden="false" name="CurveType" vbProcedure="false">Curves!$C$8:$Z$8</definedName>
    <definedName function="false" hidden="false" name="CurveValues" vbProcedure="false">Curves!$C$11:$P$377</definedName>
    <definedName function="false" hidden="false" name="curvevalues2" vbProcedure="false">OFFSET(Curves!$C$11,0,0,COUNT(Curves!$C:$C)+5,COUNT(Curves!$17:$17))</definedName>
    <definedName function="false" hidden="false" name="CurveValuesExtra" vbProcedure="false">Curves!$C$11:$Z$367</definedName>
    <definedName function="false" hidden="false" name="Dailydemandcharge" vbProcedure="false">OFFSET('[1]Mainline to Leach'!$K$21,0,0,Enddate-'[1]Mainline to Leach'!$A$20,1)</definedName>
    <definedName function="false" hidden="false" name="Enddate" vbProcedure="false">'[1]Mainline to Leach'!$H$6</definedName>
    <definedName function="false" hidden="false" name="Dailydiscountedadjustedspread" vbProcedure="false">OFFSET('[1]Mainline to Leach'!$M$21,0,0,Enddate-'[1]Mainline to Leach'!$A$20,1)</definedName>
    <definedName function="false" hidden="false" name="Dailydiscountedintrinsicvalue" vbProcedure="false">OFFSET('[1]Mainline to Leach'!$O$21,0,0,Enddate-'[1]Mainline to Leach'!$A$20,1)</definedName>
    <definedName function="false" hidden="false" name="Dailydiscountedspread" vbProcedure="false">OFFSET('[1]Mainline to Leach'!$O$21,0,0,Enddate-'[1]Mainline to Leach'!$A$20,1)</definedName>
    <definedName function="false" hidden="false" name="Dailyoptionprice" vbProcedure="false">OFFSET('[1]Mainline to Leach'!$J$21,0,0,'[1]Mainline to Leach'!$H$6-'[1]Mainline to Leach'!$A$20,1)</definedName>
    <definedName function="false" hidden="false" name="DBase" vbProcedure="false">Curves!$C$3</definedName>
    <definedName function="false" hidden="false" name="goal_target" vbProcedure="false">'Inputs-Summary'!$B$27</definedName>
    <definedName function="false" hidden="false" name="mthbeg" vbProcedure="false">'Delta Swap'!$A$3</definedName>
    <definedName function="false" hidden="false" name="mthend" vbProcedure="false">'Delta Swap'!$B$3</definedName>
    <definedName function="false" hidden="false" name="Password" vbProcedure="false">Curves!$C$2</definedName>
    <definedName function="false" hidden="false" name="Table" vbProcedure="false">Curves!$C$8:$Z$370</definedName>
    <definedName function="false" hidden="false" name="today" vbProcedure="false">Curves!$A$6</definedName>
    <definedName function="false" hidden="false" name="UpperLeftOfCurveTable" vbProcedure="false">Curves!$C$11</definedName>
    <definedName function="false" hidden="false" name="UserName" vbProcedure="false">Curves!$C$1</definedName>
    <definedName function="false" hidden="false" localSheetId="3" name="BasisIndexWarning" vbProcedure="false">OFFSET(#REF!,0,0,1,COUNT(#REF!))</definedName>
    <definedName function="false" hidden="false" localSheetId="3" name="correlfrom" vbProcedure="false">OFFSET([1]Intracorrel!$A$2,0,0,1,COUNT(correlmatchline))</definedName>
    <definedName function="false" hidden="false" localSheetId="3" name="correlto" vbProcedure="false">OFFSET([1]Intracorrel!$A$3,0,0,1,COUNT(correlmatchline))</definedName>
    <definedName function="false" hidden="false" localSheetId="3" name="CurveCode" vbProcedure="false">OFFSET(#REF!,0,0,1,COUNT(#REF!))</definedName>
    <definedName function="false" hidden="false" localSheetId="3" name="CurveCodes" vbProcedure="false">#REF!</definedName>
    <definedName function="false" hidden="false" localSheetId="3" name="CurveMonth" vbProcedure="false">#REF!</definedName>
    <definedName function="false" hidden="false" localSheetId="3" name="CurveRange" vbProcedure="false">#REF!</definedName>
    <definedName function="false" hidden="false" localSheetId="3" name="Curves" vbProcedure="false">#REF!</definedName>
    <definedName function="false" hidden="false" localSheetId="3" name="CurveTable" vbProcedure="false">#REF!</definedName>
    <definedName function="false" hidden="false" localSheetId="3" name="CurveType" vbProcedure="false">#REF!</definedName>
    <definedName function="false" hidden="false" localSheetId="3" name="CurveValues" vbProcedure="false">#REF!</definedName>
    <definedName function="false" hidden="false" localSheetId="3" name="curvevalues2" vbProcedure="false">OFFSET(#REF!,0,0,COUNT(#REF!)+5,COUNT(#REF!))</definedName>
    <definedName function="false" hidden="false" localSheetId="3" name="CurveValuesExtra" vbProcedure="false">#REF!</definedName>
    <definedName function="false" hidden="false" localSheetId="3" name="Dailydemandcharge" vbProcedure="false">OFFSET('[1]Mainline to Leach'!$K$21,0,0,Enddate-'[1]Mainline to Leach'!$A$20,1)</definedName>
    <definedName function="false" hidden="false" localSheetId="3" name="Dailydiscountedadjustedspread" vbProcedure="false">OFFSET('[1]Mainline to Leach'!$M$21,0,0,Enddate-'[1]Mainline to Leach'!$A$20,1)</definedName>
    <definedName function="false" hidden="false" localSheetId="3" name="Dailydiscountedintrinsicvalue" vbProcedure="false">OFFSET('[1]Mainline to Leach'!$O$21,0,0,Enddate-'[1]Mainline to Leach'!$A$20,1)</definedName>
    <definedName function="false" hidden="false" localSheetId="3" name="Dailydiscountedspread" vbProcedure="false">OFFSET('[1]Mainline to Leach'!$O$21,0,0,Enddate-'[1]Mainline to Leach'!$A$20,1)</definedName>
    <definedName function="false" hidden="false" localSheetId="3" name="DBase" vbProcedure="false">#REF!</definedName>
    <definedName function="false" hidden="false" localSheetId="3" name="Password" vbProcedure="false">#REF!</definedName>
    <definedName function="false" hidden="false" localSheetId="3" name="Table" vbProcedure="false">#REF!</definedName>
    <definedName function="false" hidden="false" localSheetId="3" name="today" vbProcedure="false">#REF!</definedName>
    <definedName function="false" hidden="false" localSheetId="3" name="UpperLeftOfCurveTable" vbProcedure="false">#REF!</definedName>
    <definedName function="false" hidden="false" localSheetId="3" name="UserName" vbProcedure="false">#REF!</definedName>
    <definedName function="false" hidden="false" localSheetId="4" name="BasisIndexWarning" vbProcedure="false">OFFSET(#REF!,0,0,1,COUNT(#REF!))</definedName>
    <definedName function="false" hidden="false" localSheetId="4" name="correlfrom" vbProcedure="false">OFFSET([1]Intracorrel!$A$2,0,0,1,COUNT(correlmatchline))</definedName>
    <definedName function="false" hidden="false" localSheetId="4" name="correlto" vbProcedure="false">OFFSET([1]Intracorrel!$A$3,0,0,1,COUNT(correlmatchline))</definedName>
    <definedName function="false" hidden="false" localSheetId="4" name="CurveCode" vbProcedure="false">OFFSET(#REF!,0,0,1,COUNT(#REF!))</definedName>
    <definedName function="false" hidden="false" localSheetId="4" name="CurveCodes" vbProcedure="false">#REF!</definedName>
    <definedName function="false" hidden="false" localSheetId="4" name="CurveMonth" vbProcedure="false">#REF!</definedName>
    <definedName function="false" hidden="false" localSheetId="4" name="CurveRange" vbProcedure="false">#REF!</definedName>
    <definedName function="false" hidden="false" localSheetId="4" name="Curves" vbProcedure="false">#REF!</definedName>
    <definedName function="false" hidden="false" localSheetId="4" name="CurveTable" vbProcedure="false">#REF!</definedName>
    <definedName function="false" hidden="false" localSheetId="4" name="CurveType" vbProcedure="false">#REF!</definedName>
    <definedName function="false" hidden="false" localSheetId="4" name="CurveValues" vbProcedure="false">#REF!</definedName>
    <definedName function="false" hidden="false" localSheetId="4" name="curvevalues2" vbProcedure="false">OFFSET(#REF!,0,0,COUNT(#REF!)+5,COUNT(#REF!))</definedName>
    <definedName function="false" hidden="false" localSheetId="4" name="CurveValuesExtra" vbProcedure="false">#REF!</definedName>
    <definedName function="false" hidden="false" localSheetId="4" name="Dailydemandcharge" vbProcedure="false">OFFSET('[1]Mainline to Leach'!$K$21,0,0,Enddate-'[1]Mainline to Leach'!$A$20,1)</definedName>
    <definedName function="false" hidden="false" localSheetId="4" name="Dailydiscountedadjustedspread" vbProcedure="false">OFFSET('[1]Mainline to Leach'!$M$21,0,0,Enddate-'[1]Mainline to Leach'!$A$20,1)</definedName>
    <definedName function="false" hidden="false" localSheetId="4" name="Dailydiscountedintrinsicvalue" vbProcedure="false">OFFSET('[1]Mainline to Leach'!$O$21,0,0,Enddate-'[1]Mainline to Leach'!$A$20,1)</definedName>
    <definedName function="false" hidden="false" localSheetId="4" name="Dailydiscountedspread" vbProcedure="false">OFFSET('[1]Mainline to Leach'!$O$21,0,0,Enddate-'[1]Mainline to Leach'!$A$20,1)</definedName>
    <definedName function="false" hidden="false" localSheetId="4" name="DBase" vbProcedure="false">#REF!</definedName>
    <definedName function="false" hidden="false" localSheetId="4" name="mthbeg" vbProcedure="false">'Service Fee Swap'!$A$3</definedName>
    <definedName function="false" hidden="false" localSheetId="4" name="mthend" vbProcedure="false">'Service Fee Swap'!$B$3</definedName>
    <definedName function="false" hidden="false" localSheetId="4" name="Password" vbProcedure="false">#REF!</definedName>
    <definedName function="false" hidden="false" localSheetId="4" name="Table" vbProcedure="false">#REF!</definedName>
    <definedName function="false" hidden="false" localSheetId="4" name="today" vbProcedure="false">#REF!</definedName>
    <definedName function="false" hidden="false" localSheetId="4" name="UpperLeftOfCurveTable" vbProcedure="false">#REF!</definedName>
    <definedName function="false" hidden="false" localSheetId="4" name="UserNam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<sst xmlns="http://schemas.openxmlformats.org/spreadsheetml/2006/main" count="364" uniqueCount="159">
  <si>
    <t xml:space="preserve">Citibank Prepay</t>
  </si>
  <si>
    <t xml:space="preserve">Key Financing Assumptions</t>
  </si>
  <si>
    <t xml:space="preserve">Bank Lending:</t>
  </si>
  <si>
    <t xml:space="preserve">Rate Reconciliation:</t>
  </si>
  <si>
    <t xml:space="preserve">Value</t>
  </si>
  <si>
    <t xml:space="preserve">Spread</t>
  </si>
  <si>
    <t xml:space="preserve">Upfront</t>
  </si>
  <si>
    <t xml:space="preserve">Libor Without Spread Base Rate</t>
  </si>
  <si>
    <t xml:space="preserve">Citibank</t>
  </si>
  <si>
    <t xml:space="preserve">Libor All-in Rate</t>
  </si>
  <si>
    <t xml:space="preserve">All-in Spread</t>
  </si>
  <si>
    <t xml:space="preserve">Timing of Gas Forward:</t>
  </si>
  <si>
    <t xml:space="preserve">Date</t>
  </si>
  <si>
    <t xml:space="preserve">Start Date</t>
  </si>
  <si>
    <t xml:space="preserve">Cost Reconciliation:</t>
  </si>
  <si>
    <t xml:space="preserve">Settlement Date</t>
  </si>
  <si>
    <t xml:space="preserve">Upfront Fees</t>
  </si>
  <si>
    <t xml:space="preserve">Total Fees</t>
  </si>
  <si>
    <t xml:space="preserve">Enron Cost of Funds:</t>
  </si>
  <si>
    <t xml:space="preserve">Period</t>
  </si>
  <si>
    <t xml:space="preserve">Curve Date</t>
  </si>
  <si>
    <t xml:space="preserve">Prepay Proceeds</t>
  </si>
  <si>
    <t xml:space="preserve">Funds Timing:</t>
  </si>
  <si>
    <t xml:space="preserve">Total MTM (ENE Cost of Funds)</t>
  </si>
  <si>
    <t xml:space="preserve">Total MTM (Trade Timing in Risk Book)</t>
  </si>
  <si>
    <t xml:space="preserve">Total Cost of Transaction</t>
  </si>
  <si>
    <t xml:space="preserve">Volumes:</t>
  </si>
  <si>
    <t xml:space="preserve">MMbuts</t>
  </si>
  <si>
    <t xml:space="preserve">ENA/Delta Forward Sale</t>
  </si>
  <si>
    <t xml:space="preserve">ENA/Citibank Forward Sale</t>
  </si>
  <si>
    <t xml:space="preserve">Prices:</t>
  </si>
  <si>
    <t xml:space="preserve">Holidays:</t>
  </si>
  <si>
    <t xml:space="preserve">$/MMbuts</t>
  </si>
  <si>
    <t xml:space="preserve">Interest Rate Hedge:</t>
  </si>
  <si>
    <t xml:space="preserve">Six-Month Forward Rate Hedge</t>
  </si>
  <si>
    <t xml:space="preserve">Citibank Spread</t>
  </si>
  <si>
    <t xml:space="preserve">All-In Hedge Rate</t>
  </si>
  <si>
    <t xml:space="preserve">Term</t>
  </si>
  <si>
    <t xml:space="preserve">End Date</t>
  </si>
  <si>
    <t xml:space="preserve">Volume</t>
  </si>
  <si>
    <t xml:space="preserve">Daily=1/Monthly=2</t>
  </si>
  <si>
    <t xml:space="preserve">Desk Buy=1/Sell=2</t>
  </si>
  <si>
    <t xml:space="preserve">Physical=1/Financial=2</t>
  </si>
  <si>
    <t xml:space="preserve">Basis Curve Code</t>
  </si>
  <si>
    <t xml:space="preserve">IF-HEHUB</t>
  </si>
  <si>
    <t xml:space="preserve">Nymex Mid</t>
  </si>
  <si>
    <t xml:space="preserve">Principal Swap Contract Price</t>
  </si>
  <si>
    <t xml:space="preserve">Value Generated</t>
  </si>
  <si>
    <t xml:space="preserve">Service Fee Swap Contract Price</t>
  </si>
  <si>
    <t xml:space="preserve">Enter Desired Service Fee</t>
  </si>
  <si>
    <t xml:space="preserve">Libor Factors:</t>
  </si>
  <si>
    <t xml:space="preserve">Discount</t>
  </si>
  <si>
    <t xml:space="preserve">Factor</t>
  </si>
  <si>
    <t xml:space="preserve">Semi-360</t>
  </si>
  <si>
    <t xml:space="preserve">Annual - 360</t>
  </si>
  <si>
    <t xml:space="preserve">Monthly - 360</t>
  </si>
  <si>
    <t xml:space="preserve">Monthly + Spread</t>
  </si>
  <si>
    <t xml:space="preserve">(Libor - AA)</t>
  </si>
  <si>
    <t xml:space="preserve">ENA &amp; Delta Forward Sale:</t>
  </si>
  <si>
    <t xml:space="preserve">January 2002 Forward</t>
  </si>
  <si>
    <t xml:space="preserve">Discounted</t>
  </si>
  <si>
    <t xml:space="preserve">Nymex</t>
  </si>
  <si>
    <t xml:space="preserve">Fixed</t>
  </si>
  <si>
    <t xml:space="preserve">Net </t>
  </si>
  <si>
    <t xml:space="preserve">Delivery</t>
  </si>
  <si>
    <t xml:space="preserve">Repayment</t>
  </si>
  <si>
    <t xml:space="preserve">Discount </t>
  </si>
  <si>
    <t xml:space="preserve">Daily</t>
  </si>
  <si>
    <t xml:space="preserve">Monthly</t>
  </si>
  <si>
    <t xml:space="preserve">Price</t>
  </si>
  <si>
    <t xml:space="preserve">Contract </t>
  </si>
  <si>
    <t xml:space="preserve">Month</t>
  </si>
  <si>
    <t xml:space="preserve">Days</t>
  </si>
  <si>
    <t xml:space="preserve">Volumes</t>
  </si>
  <si>
    <t xml:space="preserve">(To Delta)</t>
  </si>
  <si>
    <t xml:space="preserve">(To ENA)</t>
  </si>
  <si>
    <t xml:space="preserve">Differential</t>
  </si>
  <si>
    <t xml:space="preserve">Value at Libor:</t>
  </si>
  <si>
    <t xml:space="preserve">Value at Cost of Funds:</t>
  </si>
  <si>
    <t xml:space="preserve">Value at Citibank Pricing:</t>
  </si>
  <si>
    <t xml:space="preserve">Total Cost of Funds Value Differential</t>
  </si>
  <si>
    <t xml:space="preserve"> </t>
  </si>
  <si>
    <t xml:space="preserve">Total Deal Value Differential (Citi Pricing less Libor)</t>
  </si>
  <si>
    <t xml:space="preserve">Expense Differential</t>
  </si>
  <si>
    <t xml:space="preserve">ENA &amp; Citibank Forward Sale:</t>
  </si>
  <si>
    <t xml:space="preserve">Initial </t>
  </si>
  <si>
    <t xml:space="preserve">Interest</t>
  </si>
  <si>
    <t xml:space="preserve">Cummulative</t>
  </si>
  <si>
    <t xml:space="preserve">Fees to Chase</t>
  </si>
  <si>
    <t xml:space="preserve">Expense</t>
  </si>
  <si>
    <t xml:space="preserve">Total Payment</t>
  </si>
  <si>
    <t xml:space="preserve">Interest Expense</t>
  </si>
  <si>
    <t xml:space="preserve">Gas Swap Model</t>
  </si>
  <si>
    <t xml:space="preserve">MMBtu/day 1</t>
  </si>
  <si>
    <t xml:space="preserve">Basis</t>
  </si>
  <si>
    <t xml:space="preserve">Index</t>
  </si>
  <si>
    <t xml:space="preserve">Cost of Funds</t>
  </si>
  <si>
    <t xml:space="preserve">INPUT</t>
  </si>
  <si>
    <t xml:space="preserve">Stop Date</t>
  </si>
  <si>
    <t xml:space="preserve">Mark Date</t>
  </si>
  <si>
    <t xml:space="preserve">Phy1 Fin2</t>
  </si>
  <si>
    <t xml:space="preserve">Buy1 Sell2</t>
  </si>
  <si>
    <t xml:space="preserve">MMBtu/month 2</t>
  </si>
  <si>
    <t xml:space="preserve">Delivery Pt.</t>
  </si>
  <si>
    <t xml:space="preserve">Adjustment (bp)</t>
  </si>
  <si>
    <t xml:space="preserve">TOTAL</t>
  </si>
  <si>
    <t xml:space="preserve">Real</t>
  </si>
  <si>
    <t xml:space="preserve">PV</t>
  </si>
  <si>
    <t xml:space="preserve">NG-P</t>
  </si>
  <si>
    <t xml:space="preserve">Accum</t>
  </si>
  <si>
    <t xml:space="preserve">LIBOR-AA</t>
  </si>
  <si>
    <t xml:space="preserve">Total</t>
  </si>
  <si>
    <t xml:space="preserve">Calendar</t>
  </si>
  <si>
    <t xml:space="preserve">Libor</t>
  </si>
  <si>
    <t xml:space="preserve">Active</t>
  </si>
  <si>
    <t xml:space="preserve">MMBtu</t>
  </si>
  <si>
    <t xml:space="preserve">MMbtu</t>
  </si>
  <si>
    <t xml:space="preserve">Mid</t>
  </si>
  <si>
    <t xml:space="preserve">Contract</t>
  </si>
  <si>
    <t xml:space="preserve">AA</t>
  </si>
  <si>
    <t xml:space="preserve">Months</t>
  </si>
  <si>
    <t xml:space="preserve">VALUE</t>
  </si>
  <si>
    <t xml:space="preserve">SWAP PRICE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</si>
  <si>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</si>
  <si>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</si>
  <si>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</si>
  <si>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</si>
  <si>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</si>
  <si>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</si>
  <si>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</si>
  <si>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</si>
  <si>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OFFSET(K4,0,0,1,COUNT(4:4))</t>
  </si>
  <si>
    <t xml:space="preserve">VO-P</t>
  </si>
  <si>
    <t xml:space="preserve">Effective Date</t>
  </si>
  <si>
    <t xml:space="preserve">Prompt Month</t>
  </si>
  <si>
    <t xml:space="preserve">Curve Code</t>
  </si>
  <si>
    <t xml:space="preserve">INTNS</t>
  </si>
  <si>
    <t xml:space="preserve">NG</t>
  </si>
  <si>
    <t xml:space="preserve">NGI/CHI. GATE</t>
  </si>
  <si>
    <t xml:space="preserve">IF-HPL/SHPCHAN</t>
  </si>
  <si>
    <t xml:space="preserve">NGI-SOCAL</t>
  </si>
  <si>
    <t xml:space="preserve">IF-TRANSCO/Z6</t>
  </si>
  <si>
    <t xml:space="preserve">Curve Type</t>
  </si>
  <si>
    <t xml:space="preserve">PR</t>
  </si>
  <si>
    <t xml:space="preserve">VO</t>
  </si>
  <si>
    <t xml:space="preserve">Book Code 1</t>
  </si>
  <si>
    <t xml:space="preserve">R</t>
  </si>
  <si>
    <t xml:space="preserve">P</t>
  </si>
  <si>
    <t xml:space="preserve">D</t>
  </si>
  <si>
    <t xml:space="preserve">I</t>
  </si>
  <si>
    <t xml:space="preserve">Publisher</t>
  </si>
  <si>
    <t xml:space="preserve">ATEST_PC</t>
  </si>
  <si>
    <t xml:space="preserve">DQUIGLE</t>
  </si>
  <si>
    <t xml:space="preserve">PRYDER</t>
  </si>
  <si>
    <t xml:space="preserve">SBRAWNE</t>
  </si>
  <si>
    <t xml:space="preserve">EBASS</t>
  </si>
  <si>
    <t xml:space="preserve">OWINFRE</t>
  </si>
  <si>
    <t xml:space="preserve">CFRANK2</t>
  </si>
  <si>
    <t xml:space="preserve">JROYED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</si>
</sst>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_(* #,##0.00_);_(* \(#,##0.00\);_(* \-??_);_(@_)"/>
    <numFmt numFmtId="173" formatCode="_(* #,##0_);_(* \(#,##0\);_(* \-??_);_(@_)"/>
    <numFmt numFmtId="174" formatCode="0%"/>
    <numFmt numFmtId="175" formatCode="0.000%"/>
    <numFmt numFmtId="176" formatCode="[$-409]m/d/yyyy"/>
    <numFmt numFmtId="177" formatCode="0.000"/>
    <numFmt numFmtId="178" formatCode="0.00"/>
    <numFmt numFmtId="179" formatCode="_(* #,##0.0000_);_(* \(#,##0.0000\);_(* \-??_);_(@_)"/>
    <numFmt numFmtId="180" formatCode="0.0000"/>
    <numFmt numFmtId="181" formatCode="[$-409]mmm\-yy"/>
    <numFmt numFmtId="182" formatCode="#,##0.0"/>
    <numFmt numFmtId="183" formatCode="\$#,##0"/>
    <numFmt numFmtId="184" formatCode="0.0000000%"/>
    <numFmt numFmtId="185" formatCode="mm/dd/yy"/>
    <numFmt numFmtId="186" formatCode="\$#,##0.0000"/>
    <numFmt numFmtId="187" formatCode="mm/yy"/>
    <numFmt numFmtId="188" formatCode="0.0000_);\(0.0000\)"/>
    <numFmt numFmtId="189" formatCode="0.0000000"/>
  </numFmts>
  <fonts count="3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1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800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00808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b val="true"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33CCCC"/>
        <bgColor rgb="FF00CC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3" borderId="0" applyFont="true" applyBorder="fals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applyFont="true" applyBorder="true" applyAlignment="false" applyProtection="false"/>
    <xf numFmtId="164" fontId="8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8" fillId="5" borderId="0" applyFont="true" applyBorder="false" applyAlignment="false" applyProtection="false"/>
    <xf numFmtId="167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1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21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2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1" fillId="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1" fillId="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9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2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3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2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29" fillId="0" borderId="0" xfId="3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0" xfId="3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Grey" xfId="25"/>
    <cellStyle name="HEADER" xfId="26"/>
    <cellStyle name="Heading 1" xfId="27"/>
    <cellStyle name="Heading2" xfId="28"/>
    <cellStyle name="HIGHLIGHT" xfId="29"/>
    <cellStyle name="Input [yellow]" xfId="30"/>
    <cellStyle name="Milliers [0]_laroux" xfId="31"/>
    <cellStyle name="Milliers_laroux" xfId="32"/>
    <cellStyle name="Monétaire [0]_laroux" xfId="33"/>
    <cellStyle name="Monétaire_laroux" xfId="34"/>
    <cellStyle name="no dec" xfId="35"/>
    <cellStyle name="Normal - Style1" xfId="36"/>
    <cellStyle name="Normal_Curves" xfId="37"/>
    <cellStyle name="Normal_June Options 97" xfId="38"/>
    <cellStyle name="Percent [2]" xfId="39"/>
    <cellStyle name="Total" xfId="40"/>
    <cellStyle name="Tusental (0)_laroux" xfId="41"/>
    <cellStyle name="Tusental_laroux" xfId="42"/>
    <cellStyle name="Unprot" xfId="43"/>
    <cellStyle name="Unprot$" xfId="44"/>
    <cellStyle name="Unprotect" xfId="45"/>
    <cellStyle name="Valuta (0)_laroux" xfId="46"/>
    <cellStyle name="Valuta_laroux" xfId="4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462600</xdr:colOff>
          <xdr:row>14</xdr:row>
          <xdr:rowOff>152640</xdr:rowOff>
        </xdr:from>
        <xdr:to>
          <xdr:col>3</xdr:col>
          <xdr:colOff>665280</xdr:colOff>
          <xdr:row>18</xdr:row>
          <xdr:rowOff>105120</xdr:rowOff>
        </xdr:to>
        <xdr:sp>
          <xdr:nvSpPr>
            <xdr:cNvPr id="1001" name="Button 8" descr="Solve for Principal Swa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Solve for Principal Swap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442080</xdr:colOff>
          <xdr:row>22</xdr:row>
          <xdr:rowOff>0</xdr:rowOff>
        </xdr:from>
        <xdr:to>
          <xdr:col>3</xdr:col>
          <xdr:colOff>645480</xdr:colOff>
          <xdr:row>25</xdr:row>
          <xdr:rowOff>114480</xdr:rowOff>
        </xdr:to>
        <xdr:sp>
          <xdr:nvSpPr>
            <xdr:cNvPr id="1002" name="Button 9" descr="Solve for Service Fee Swa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Solve for Service Fee Swap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673920</xdr:colOff>
          <xdr:row>10</xdr:row>
          <xdr:rowOff>9360</xdr:rowOff>
        </xdr:from>
        <xdr:to>
          <xdr:col>1</xdr:col>
          <xdr:colOff>976680</xdr:colOff>
          <xdr:row>14</xdr:row>
          <xdr:rowOff>76320</xdr:rowOff>
        </xdr:to>
        <xdr:sp>
          <xdr:nvSpPr>
            <xdr:cNvPr id="1001" name="Button 4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XCEL/Fall%201999%20Projects/Transport%20Book/Position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Physical%20Deal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Table"/>
      <sheetName val="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.56"/>
    <col collapsed="false" customWidth="true" hidden="false" outlineLevel="0" max="3" min="3" style="0" width="3.99"/>
    <col collapsed="false" customWidth="true" hidden="false" outlineLevel="0" max="6" min="6" style="0" width="12.85"/>
    <col collapsed="false" customWidth="true" hidden="false" outlineLevel="0" max="7" min="7" style="0" width="13.14"/>
    <col collapsed="false" customWidth="true" hidden="false" outlineLevel="0" max="8" min="8" style="0" width="12.14"/>
    <col collapsed="false" customWidth="true" hidden="false" outlineLevel="0" max="10" min="10" style="0" width="4.7"/>
    <col collapsed="false" customWidth="true" hidden="false" outlineLevel="0" max="11" min="11" style="0" width="4.56"/>
    <col collapsed="false" customWidth="true" hidden="false" outlineLevel="0" max="17" min="17" style="0" width="14.41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4" customFormat="false" ht="12.75" hidden="false" customHeight="false" outlineLevel="0" collapsed="false">
      <c r="F4" s="2"/>
      <c r="G4" s="2"/>
      <c r="H4" s="2"/>
    </row>
    <row r="5" customFormat="false" ht="12.75" hidden="false" customHeight="false" outlineLevel="0" collapsed="false">
      <c r="C5" s="3" t="s">
        <v>2</v>
      </c>
      <c r="J5" s="4" t="s">
        <v>3</v>
      </c>
    </row>
    <row r="6" customFormat="false" ht="12.75" hidden="false" customHeight="false" outlineLevel="0" collapsed="false">
      <c r="C6" s="3"/>
      <c r="F6" s="5" t="s">
        <v>4</v>
      </c>
      <c r="G6" s="5" t="s">
        <v>5</v>
      </c>
      <c r="H6" s="5" t="s">
        <v>6</v>
      </c>
      <c r="J6" s="4"/>
    </row>
    <row r="7" customFormat="false" ht="12.75" hidden="false" customHeight="false" outlineLevel="0" collapsed="false">
      <c r="D7" s="6"/>
      <c r="E7" s="7"/>
      <c r="F7" s="8"/>
      <c r="G7" s="8"/>
      <c r="H7" s="9"/>
      <c r="K7" s="6" t="s">
        <v>7</v>
      </c>
      <c r="L7" s="7"/>
      <c r="M7" s="7"/>
      <c r="N7" s="7"/>
      <c r="O7" s="7"/>
      <c r="P7" s="7"/>
      <c r="Q7" s="10"/>
    </row>
    <row r="8" customFormat="false" ht="12.75" hidden="false" customHeight="false" outlineLevel="0" collapsed="false">
      <c r="D8" s="11" t="s">
        <v>8</v>
      </c>
      <c r="E8" s="2"/>
      <c r="F8" s="12" t="n">
        <v>250000000</v>
      </c>
      <c r="G8" s="13" t="n">
        <v>0.0065</v>
      </c>
      <c r="H8" s="14" t="n">
        <v>0.004</v>
      </c>
      <c r="K8" s="11" t="s">
        <v>9</v>
      </c>
      <c r="L8" s="2"/>
      <c r="M8" s="2"/>
      <c r="N8" s="2"/>
      <c r="O8" s="2"/>
      <c r="P8" s="2"/>
      <c r="Q8" s="15"/>
    </row>
    <row r="9" customFormat="false" ht="12.75" hidden="false" customHeight="false" outlineLevel="0" collapsed="false">
      <c r="D9" s="16"/>
      <c r="E9" s="17"/>
      <c r="F9" s="17"/>
      <c r="G9" s="17"/>
      <c r="H9" s="18"/>
      <c r="K9" s="11"/>
      <c r="L9" s="2"/>
      <c r="M9" s="2"/>
      <c r="N9" s="2"/>
      <c r="O9" s="2"/>
      <c r="P9" s="2"/>
      <c r="Q9" s="15"/>
    </row>
    <row r="10" customFormat="false" ht="12.75" hidden="false" customHeight="false" outlineLevel="0" collapsed="false">
      <c r="K10" s="11" t="s">
        <v>10</v>
      </c>
      <c r="L10" s="2"/>
      <c r="M10" s="2"/>
      <c r="N10" s="2"/>
      <c r="O10" s="2"/>
      <c r="P10" s="2"/>
      <c r="Q10" s="15"/>
    </row>
    <row r="11" customFormat="false" ht="12.75" hidden="false" customHeight="false" outlineLevel="0" collapsed="false">
      <c r="C11" s="3" t="s">
        <v>11</v>
      </c>
      <c r="K11" s="16"/>
      <c r="L11" s="17"/>
      <c r="M11" s="17"/>
      <c r="N11" s="17"/>
      <c r="O11" s="17"/>
      <c r="P11" s="17"/>
      <c r="Q11" s="18"/>
    </row>
    <row r="12" customFormat="false" ht="12.75" hidden="false" customHeight="false" outlineLevel="0" collapsed="false">
      <c r="H12" s="5" t="s">
        <v>12</v>
      </c>
    </row>
    <row r="13" customFormat="false" ht="12.75" hidden="false" customHeight="false" outlineLevel="0" collapsed="false">
      <c r="D13" s="6" t="s">
        <v>13</v>
      </c>
      <c r="E13" s="7"/>
      <c r="F13" s="7"/>
      <c r="G13" s="7"/>
      <c r="H13" s="19" t="n">
        <v>37071</v>
      </c>
      <c r="J13" s="4" t="s">
        <v>14</v>
      </c>
    </row>
    <row r="14" customFormat="false" ht="12.75" hidden="false" customHeight="false" outlineLevel="0" collapsed="false">
      <c r="D14" s="11" t="s">
        <v>15</v>
      </c>
      <c r="E14" s="2"/>
      <c r="F14" s="2"/>
      <c r="G14" s="2"/>
      <c r="H14" s="20" t="n">
        <v>37253</v>
      </c>
    </row>
    <row r="15" customFormat="false" ht="15" hidden="false" customHeight="false" outlineLevel="0" collapsed="false">
      <c r="D15" s="16"/>
      <c r="E15" s="17"/>
      <c r="F15" s="17"/>
      <c r="G15" s="17"/>
      <c r="H15" s="18"/>
      <c r="K15" s="6" t="s">
        <v>16</v>
      </c>
      <c r="L15" s="7"/>
      <c r="M15" s="7"/>
      <c r="N15" s="7"/>
      <c r="O15" s="7"/>
      <c r="P15" s="7"/>
      <c r="Q15" s="21" t="n">
        <f aca="false">Prepay!L52</f>
        <v>1000000</v>
      </c>
    </row>
    <row r="16" customFormat="false" ht="12.75" hidden="false" customHeight="false" outlineLevel="0" collapsed="false">
      <c r="K16" s="11" t="s">
        <v>17</v>
      </c>
      <c r="L16" s="2"/>
      <c r="M16" s="2"/>
      <c r="N16" s="2"/>
      <c r="O16" s="2"/>
      <c r="P16" s="2"/>
      <c r="Q16" s="22" t="n">
        <f aca="false">Q15</f>
        <v>1000000</v>
      </c>
    </row>
    <row r="17" customFormat="false" ht="12.75" hidden="false" customHeight="false" outlineLevel="0" collapsed="false">
      <c r="C17" s="3" t="s">
        <v>18</v>
      </c>
      <c r="K17" s="11"/>
      <c r="L17" s="2"/>
      <c r="M17" s="2"/>
      <c r="N17" s="2"/>
      <c r="O17" s="2"/>
      <c r="P17" s="2"/>
      <c r="Q17" s="15"/>
    </row>
    <row r="18" customFormat="false" ht="12.75" hidden="false" customHeight="false" outlineLevel="0" collapsed="false">
      <c r="F18" s="23" t="s">
        <v>19</v>
      </c>
      <c r="G18" s="23" t="s">
        <v>10</v>
      </c>
      <c r="H18" s="23" t="s">
        <v>20</v>
      </c>
      <c r="K18" s="11" t="s">
        <v>21</v>
      </c>
      <c r="L18" s="2"/>
      <c r="M18" s="2"/>
      <c r="N18" s="2"/>
      <c r="O18" s="2"/>
      <c r="P18" s="2"/>
      <c r="Q18" s="24" t="n">
        <f aca="false">Prepay!I52</f>
        <v>250000000</v>
      </c>
    </row>
    <row r="19" customFormat="false" ht="12.75" hidden="false" customHeight="false" outlineLevel="0" collapsed="false">
      <c r="D19" s="6" t="s">
        <v>22</v>
      </c>
      <c r="E19" s="7"/>
      <c r="F19" s="7"/>
      <c r="G19" s="7"/>
      <c r="H19" s="10"/>
      <c r="K19" s="11" t="s">
        <v>23</v>
      </c>
      <c r="L19" s="2"/>
      <c r="M19" s="2"/>
      <c r="N19" s="2"/>
      <c r="O19" s="2"/>
      <c r="P19" s="2"/>
      <c r="Q19" s="15"/>
    </row>
    <row r="20" customFormat="false" ht="12.75" hidden="false" customHeight="false" outlineLevel="0" collapsed="false">
      <c r="D20" s="25" t="n">
        <v>37062</v>
      </c>
      <c r="E20" s="2"/>
      <c r="F20" s="26" t="n">
        <f aca="false">30/360</f>
        <v>0.0833333333333333</v>
      </c>
      <c r="G20" s="13" t="n">
        <v>0.004</v>
      </c>
      <c r="H20" s="20" t="n">
        <f aca="false">EDATE($D$20,12*F20)</f>
        <v>37092</v>
      </c>
      <c r="K20" s="11" t="s">
        <v>24</v>
      </c>
      <c r="L20" s="2"/>
      <c r="M20" s="2"/>
      <c r="N20" s="2"/>
      <c r="O20" s="2"/>
      <c r="P20" s="2"/>
      <c r="Q20" s="15"/>
    </row>
    <row r="21" customFormat="false" ht="12.75" hidden="false" customHeight="false" outlineLevel="0" collapsed="false">
      <c r="D21" s="11"/>
      <c r="E21" s="2"/>
      <c r="F21" s="26" t="n">
        <f aca="false">60/360</f>
        <v>0.166666666666667</v>
      </c>
      <c r="G21" s="13" t="n">
        <v>0.0045</v>
      </c>
      <c r="H21" s="20" t="n">
        <f aca="false">EDATE($D$20,12*F21)</f>
        <v>37123</v>
      </c>
      <c r="K21" s="11"/>
      <c r="L21" s="2"/>
      <c r="M21" s="2"/>
      <c r="N21" s="2"/>
      <c r="O21" s="2"/>
      <c r="P21" s="2"/>
      <c r="Q21" s="15"/>
    </row>
    <row r="22" customFormat="false" ht="12.75" hidden="false" customHeight="false" outlineLevel="0" collapsed="false">
      <c r="D22" s="11"/>
      <c r="E22" s="2"/>
      <c r="F22" s="27" t="n">
        <v>0.25</v>
      </c>
      <c r="G22" s="13" t="n">
        <v>0.005</v>
      </c>
      <c r="H22" s="20" t="n">
        <f aca="false">EDATE($D$20,12*F22)</f>
        <v>37154</v>
      </c>
      <c r="K22" s="11" t="s">
        <v>25</v>
      </c>
      <c r="L22" s="2"/>
      <c r="M22" s="2"/>
      <c r="N22" s="2"/>
      <c r="O22" s="2"/>
      <c r="P22" s="2"/>
      <c r="Q22" s="15"/>
    </row>
    <row r="23" customFormat="false" ht="12.75" hidden="false" customHeight="false" outlineLevel="0" collapsed="false">
      <c r="D23" s="11"/>
      <c r="E23" s="2"/>
      <c r="F23" s="28" t="n">
        <v>0.5</v>
      </c>
      <c r="G23" s="29" t="n">
        <v>0.0055</v>
      </c>
      <c r="H23" s="20" t="n">
        <f aca="false">EDATE($D$20,12*F23)</f>
        <v>37245</v>
      </c>
      <c r="K23" s="16"/>
      <c r="L23" s="17"/>
      <c r="M23" s="17"/>
      <c r="N23" s="17"/>
      <c r="O23" s="17"/>
      <c r="P23" s="17"/>
      <c r="Q23" s="18"/>
    </row>
    <row r="24" customFormat="false" ht="12.75" hidden="false" customHeight="false" outlineLevel="0" collapsed="false">
      <c r="D24" s="11"/>
      <c r="E24" s="2"/>
      <c r="F24" s="27" t="n">
        <v>1</v>
      </c>
      <c r="G24" s="13" t="n">
        <v>0.007</v>
      </c>
      <c r="H24" s="20" t="n">
        <f aca="false">EDATE($D$20,12*F24)</f>
        <v>37427</v>
      </c>
    </row>
    <row r="25" customFormat="false" ht="12.75" hidden="false" customHeight="false" outlineLevel="0" collapsed="false">
      <c r="D25" s="11"/>
      <c r="E25" s="2"/>
      <c r="F25" s="27" t="n">
        <v>2</v>
      </c>
      <c r="G25" s="13" t="n">
        <v>0.0158</v>
      </c>
      <c r="H25" s="20" t="n">
        <f aca="false">EDATE($D$20,12*F25)</f>
        <v>37792</v>
      </c>
      <c r="J25" s="4" t="s">
        <v>26</v>
      </c>
    </row>
    <row r="26" customFormat="false" ht="12.75" hidden="false" customHeight="false" outlineLevel="0" collapsed="false">
      <c r="D26" s="11"/>
      <c r="E26" s="2"/>
      <c r="F26" s="27" t="n">
        <v>3</v>
      </c>
      <c r="G26" s="29" t="n">
        <v>0.01599</v>
      </c>
      <c r="H26" s="20" t="n">
        <f aca="false">EDATE($D$20,12*F26)</f>
        <v>38158</v>
      </c>
      <c r="Q26" s="30" t="s">
        <v>27</v>
      </c>
    </row>
    <row r="27" customFormat="false" ht="12.75" hidden="false" customHeight="false" outlineLevel="0" collapsed="false">
      <c r="D27" s="11"/>
      <c r="E27" s="2"/>
      <c r="F27" s="27" t="n">
        <v>5</v>
      </c>
      <c r="G27" s="31" t="n">
        <v>0.01794</v>
      </c>
      <c r="H27" s="20" t="n">
        <f aca="false">EDATE($D$20,12*F27)</f>
        <v>38888</v>
      </c>
      <c r="K27" s="6" t="s">
        <v>28</v>
      </c>
      <c r="L27" s="7"/>
      <c r="M27" s="7"/>
      <c r="N27" s="7"/>
      <c r="O27" s="7"/>
      <c r="P27" s="7"/>
      <c r="Q27" s="32" t="n">
        <v>1796032.84236903</v>
      </c>
    </row>
    <row r="28" customFormat="false" ht="12.75" hidden="false" customHeight="false" outlineLevel="0" collapsed="false">
      <c r="D28" s="11"/>
      <c r="E28" s="2"/>
      <c r="F28" s="27" t="n">
        <v>7</v>
      </c>
      <c r="G28" s="31" t="n">
        <v>0.01815</v>
      </c>
      <c r="H28" s="20" t="n">
        <f aca="false">EDATE($D$20,12*F28)</f>
        <v>39619</v>
      </c>
      <c r="K28" s="11" t="s">
        <v>29</v>
      </c>
      <c r="L28" s="2"/>
      <c r="M28" s="2"/>
      <c r="N28" s="2"/>
      <c r="O28" s="2"/>
      <c r="P28" s="2"/>
      <c r="Q28" s="24" t="n">
        <f aca="false">Q27</f>
        <v>1796032.84236903</v>
      </c>
    </row>
    <row r="29" customFormat="false" ht="12.75" hidden="false" customHeight="false" outlineLevel="0" collapsed="false">
      <c r="D29" s="11"/>
      <c r="E29" s="2"/>
      <c r="F29" s="27" t="n">
        <v>10</v>
      </c>
      <c r="G29" s="31" t="n">
        <v>0.01893</v>
      </c>
      <c r="H29" s="20" t="n">
        <f aca="false">EDATE($D$20,12*F29)</f>
        <v>40714</v>
      </c>
      <c r="K29" s="16"/>
      <c r="L29" s="17"/>
      <c r="M29" s="17"/>
      <c r="N29" s="17"/>
      <c r="O29" s="17"/>
      <c r="P29" s="17"/>
      <c r="Q29" s="18"/>
    </row>
    <row r="30" customFormat="false" ht="12.75" hidden="false" customHeight="false" outlineLevel="0" collapsed="false">
      <c r="D30" s="16"/>
      <c r="E30" s="17"/>
      <c r="F30" s="17"/>
      <c r="G30" s="17"/>
      <c r="H30" s="18"/>
    </row>
    <row r="31" customFormat="false" ht="12.75" hidden="false" customHeight="false" outlineLevel="0" collapsed="false">
      <c r="J31" s="4" t="s">
        <v>30</v>
      </c>
    </row>
    <row r="32" customFormat="false" ht="12.75" hidden="false" customHeight="false" outlineLevel="0" collapsed="false">
      <c r="C32" s="3" t="s">
        <v>31</v>
      </c>
      <c r="Q32" s="30" t="s">
        <v>32</v>
      </c>
    </row>
    <row r="33" customFormat="false" ht="12.75" hidden="false" customHeight="false" outlineLevel="0" collapsed="false">
      <c r="H33" s="5" t="s">
        <v>12</v>
      </c>
      <c r="K33" s="6" t="s">
        <v>28</v>
      </c>
      <c r="L33" s="7"/>
      <c r="M33" s="7"/>
      <c r="N33" s="7"/>
      <c r="O33" s="7"/>
      <c r="P33" s="7"/>
      <c r="Q33" s="33" t="n">
        <v>0</v>
      </c>
    </row>
    <row r="34" customFormat="false" ht="12.75" hidden="false" customHeight="false" outlineLevel="0" collapsed="false">
      <c r="D34" s="6"/>
      <c r="E34" s="7"/>
      <c r="F34" s="7"/>
      <c r="G34" s="7"/>
      <c r="H34" s="19" t="n">
        <v>37250</v>
      </c>
      <c r="K34" s="11" t="s">
        <v>29</v>
      </c>
      <c r="L34" s="2"/>
      <c r="M34" s="2"/>
      <c r="N34" s="2"/>
      <c r="O34" s="2"/>
      <c r="P34" s="2"/>
      <c r="Q34" s="34" t="n">
        <v>4.681726419552</v>
      </c>
    </row>
    <row r="35" customFormat="false" ht="12.75" hidden="false" customHeight="false" outlineLevel="0" collapsed="false">
      <c r="D35" s="16"/>
      <c r="E35" s="17"/>
      <c r="F35" s="17"/>
      <c r="G35" s="17"/>
      <c r="H35" s="18"/>
      <c r="K35" s="16"/>
      <c r="L35" s="17"/>
      <c r="M35" s="17"/>
      <c r="N35" s="17"/>
      <c r="O35" s="17"/>
      <c r="P35" s="17"/>
      <c r="Q35" s="18"/>
    </row>
    <row r="37" customFormat="false" ht="12.75" hidden="false" customHeight="false" outlineLevel="0" collapsed="false">
      <c r="C37" s="3" t="s">
        <v>33</v>
      </c>
    </row>
    <row r="39" customFormat="false" ht="12.75" hidden="false" customHeight="false" outlineLevel="0" collapsed="false">
      <c r="D39" s="6" t="s">
        <v>34</v>
      </c>
      <c r="E39" s="7"/>
      <c r="F39" s="7"/>
      <c r="G39" s="7"/>
      <c r="H39" s="35" t="n">
        <v>0.0374</v>
      </c>
    </row>
    <row r="40" customFormat="false" ht="12.75" hidden="false" customHeight="false" outlineLevel="0" collapsed="false">
      <c r="D40" s="11" t="s">
        <v>35</v>
      </c>
      <c r="E40" s="2"/>
      <c r="F40" s="2"/>
      <c r="G40" s="2"/>
      <c r="H40" s="36" t="n">
        <v>0.0005</v>
      </c>
    </row>
    <row r="41" customFormat="false" ht="12.75" hidden="false" customHeight="false" outlineLevel="0" collapsed="false">
      <c r="D41" s="11" t="s">
        <v>36</v>
      </c>
      <c r="E41" s="2"/>
      <c r="F41" s="2"/>
      <c r="G41" s="2"/>
      <c r="H41" s="37" t="n">
        <f aca="false">SUM(H39:H40)</f>
        <v>0.0379</v>
      </c>
    </row>
    <row r="42" customFormat="false" ht="12.75" hidden="false" customHeight="false" outlineLevel="0" collapsed="false">
      <c r="D42" s="16"/>
      <c r="E42" s="17"/>
      <c r="F42" s="17"/>
      <c r="G42" s="17"/>
      <c r="H42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8" width="31.7"/>
    <col collapsed="false" customWidth="true" hidden="false" outlineLevel="0" max="2" min="2" style="39" width="20.7"/>
    <col collapsed="false" customWidth="true" hidden="false" outlineLevel="0" max="3" min="3" style="0" width="11.42"/>
    <col collapsed="false" customWidth="true" hidden="false" outlineLevel="0" max="4" min="4" style="0" width="13.85"/>
  </cols>
  <sheetData>
    <row r="2" customFormat="false" ht="12.75" hidden="false" customHeight="false" outlineLevel="0" collapsed="false">
      <c r="C2" s="40" t="s">
        <v>37</v>
      </c>
    </row>
    <row r="3" customFormat="false" ht="12.75" hidden="false" customHeight="false" outlineLevel="0" collapsed="false">
      <c r="A3" s="38" t="s">
        <v>13</v>
      </c>
      <c r="B3" s="41" t="n">
        <v>37257</v>
      </c>
      <c r="C3" s="42" t="str">
        <f aca="false">'Delta Swap'!E3</f>
        <v>0 Y - 1 M</v>
      </c>
    </row>
    <row r="4" customFormat="false" ht="12.75" hidden="false" customHeight="false" outlineLevel="0" collapsed="false">
      <c r="A4" s="38" t="s">
        <v>38</v>
      </c>
      <c r="B4" s="41" t="n">
        <v>37287</v>
      </c>
      <c r="F4" s="43"/>
    </row>
    <row r="5" customFormat="false" ht="12.75" hidden="false" customHeight="false" outlineLevel="0" collapsed="false">
      <c r="A5" s="38" t="s">
        <v>20</v>
      </c>
      <c r="B5" s="41" t="n">
        <v>37061</v>
      </c>
      <c r="F5" s="43"/>
    </row>
    <row r="6" customFormat="false" ht="12.75" hidden="false" customHeight="false" outlineLevel="0" collapsed="false">
      <c r="B6" s="41"/>
      <c r="F6" s="43"/>
    </row>
    <row r="7" customFormat="false" ht="12.75" hidden="false" customHeight="false" outlineLevel="0" collapsed="false">
      <c r="A7" s="38" t="s">
        <v>39</v>
      </c>
      <c r="B7" s="44" t="n">
        <v>3017157.21662952</v>
      </c>
      <c r="F7" s="43"/>
    </row>
    <row r="8" customFormat="false" ht="12.75" hidden="false" customHeight="false" outlineLevel="0" collapsed="false">
      <c r="A8" s="38" t="s">
        <v>40</v>
      </c>
      <c r="B8" s="45" t="n">
        <v>1</v>
      </c>
      <c r="F8" s="43"/>
    </row>
    <row r="9" customFormat="false" ht="12.75" hidden="false" customHeight="false" outlineLevel="0" collapsed="false">
      <c r="A9" s="38" t="s">
        <v>41</v>
      </c>
      <c r="B9" s="45" t="n">
        <v>2</v>
      </c>
      <c r="F9" s="43"/>
    </row>
    <row r="10" customFormat="false" ht="12.75" hidden="false" customHeight="false" outlineLevel="0" collapsed="false">
      <c r="A10" s="38" t="s">
        <v>42</v>
      </c>
      <c r="B10" s="45" t="n">
        <v>2</v>
      </c>
      <c r="F10" s="43"/>
    </row>
    <row r="11" customFormat="false" ht="12.75" hidden="false" customHeight="false" outlineLevel="0" collapsed="false">
      <c r="F11" s="43"/>
    </row>
    <row r="12" customFormat="false" ht="12.75" hidden="false" customHeight="false" outlineLevel="0" collapsed="false">
      <c r="A12" s="38" t="s">
        <v>43</v>
      </c>
      <c r="B12" s="41" t="s">
        <v>44</v>
      </c>
      <c r="F12" s="43"/>
    </row>
    <row r="13" customFormat="false" ht="12.75" hidden="false" customHeight="false" outlineLevel="0" collapsed="false">
      <c r="B13" s="41"/>
      <c r="F13" s="43"/>
    </row>
    <row r="14" customFormat="false" ht="12.75" hidden="false" customHeight="false" outlineLevel="0" collapsed="false">
      <c r="A14" s="38" t="s">
        <v>45</v>
      </c>
      <c r="B14" s="46" t="n">
        <f aca="false">'Delta Swap'!G8</f>
        <v>3</v>
      </c>
      <c r="F14" s="43"/>
    </row>
    <row r="15" customFormat="false" ht="12.75" hidden="false" customHeight="false" outlineLevel="0" collapsed="false">
      <c r="F15" s="43"/>
    </row>
    <row r="16" customFormat="false" ht="12.75" hidden="false" customHeight="false" outlineLevel="0" collapsed="false">
      <c r="A16" s="38" t="s">
        <v>46</v>
      </c>
      <c r="B16" s="47" t="n">
        <v>1.85</v>
      </c>
      <c r="F16" s="43"/>
    </row>
    <row r="17" customFormat="false" ht="12.75" hidden="false" customHeight="false" outlineLevel="0" collapsed="false">
      <c r="F17" s="43"/>
    </row>
    <row r="18" customFormat="false" ht="12.75" hidden="false" customHeight="false" outlineLevel="0" collapsed="false">
      <c r="A18" s="38" t="s">
        <v>47</v>
      </c>
      <c r="B18" s="48" t="n">
        <f aca="false">'Delta Swap'!AC8</f>
        <v>2.09511215269753E+022</v>
      </c>
      <c r="F18" s="43"/>
    </row>
    <row r="19" customFormat="false" ht="12.75" hidden="false" customHeight="false" outlineLevel="0" collapsed="false">
      <c r="F19" s="43"/>
    </row>
    <row r="20" customFormat="false" ht="12.75" hidden="false" customHeight="false" outlineLevel="0" collapsed="false">
      <c r="F20" s="43"/>
    </row>
    <row r="21" customFormat="false" ht="12.75" hidden="false" customHeight="false" outlineLevel="0" collapsed="false">
      <c r="F21" s="43"/>
    </row>
    <row r="22" customFormat="false" ht="12.75" hidden="false" customHeight="false" outlineLevel="0" collapsed="false">
      <c r="F22" s="43"/>
    </row>
    <row r="23" customFormat="false" ht="12.75" hidden="false" customHeight="false" outlineLevel="0" collapsed="false">
      <c r="A23" s="38" t="s">
        <v>48</v>
      </c>
      <c r="B23" s="47" t="n">
        <v>4.4682673622397</v>
      </c>
      <c r="F23" s="43"/>
    </row>
    <row r="24" customFormat="false" ht="12.75" hidden="false" customHeight="false" outlineLevel="0" collapsed="false">
      <c r="B24" s="0"/>
      <c r="F24" s="43"/>
    </row>
    <row r="25" customFormat="false" ht="12.75" hidden="false" customHeight="false" outlineLevel="0" collapsed="false">
      <c r="B25" s="49" t="n">
        <f aca="false">'Service Fee Swap'!AC8</f>
        <v>-2.67494329916308E+022</v>
      </c>
      <c r="F25" s="43"/>
    </row>
    <row r="26" customFormat="false" ht="12.75" hidden="false" customHeight="false" outlineLevel="0" collapsed="false">
      <c r="F26" s="43"/>
    </row>
    <row r="27" customFormat="false" ht="12.75" hidden="false" customHeight="false" outlineLevel="0" collapsed="false">
      <c r="A27" s="38" t="s">
        <v>49</v>
      </c>
      <c r="B27" s="50" t="n">
        <v>10000000</v>
      </c>
      <c r="F27" s="43"/>
    </row>
    <row r="28" customFormat="false" ht="12.75" hidden="false" customHeight="false" outlineLevel="0" collapsed="false">
      <c r="F28" s="43"/>
    </row>
    <row r="29" customFormat="false" ht="12.75" hidden="false" customHeight="false" outlineLevel="0" collapsed="false">
      <c r="F29" s="43"/>
    </row>
    <row r="30" customFormat="false" ht="12.75" hidden="false" customHeight="false" outlineLevel="0" collapsed="false">
      <c r="F30" s="43"/>
    </row>
    <row r="31" customFormat="false" ht="12.75" hidden="false" customHeight="false" outlineLevel="0" collapsed="false">
      <c r="F31" s="43"/>
    </row>
    <row r="32" customFormat="false" ht="12.75" hidden="false" customHeight="false" outlineLevel="0" collapsed="false">
      <c r="F32" s="43"/>
    </row>
    <row r="33" customFormat="false" ht="12.75" hidden="false" customHeight="false" outlineLevel="0" collapsed="false">
      <c r="F33" s="43"/>
    </row>
    <row r="34" customFormat="false" ht="12.75" hidden="false" customHeight="false" outlineLevel="0" collapsed="false">
      <c r="F34" s="43"/>
    </row>
    <row r="35" customFormat="false" ht="12.75" hidden="false" customHeight="false" outlineLevel="0" collapsed="false">
      <c r="F35" s="43"/>
    </row>
    <row r="36" customFormat="false" ht="12.75" hidden="false" customHeight="false" outlineLevel="0" collapsed="false">
      <c r="F36" s="43"/>
    </row>
    <row r="37" customFormat="false" ht="12.75" hidden="false" customHeight="false" outlineLevel="0" collapsed="false">
      <c r="F37" s="43"/>
    </row>
    <row r="38" customFormat="false" ht="12.75" hidden="false" customHeight="false" outlineLevel="0" collapsed="false">
      <c r="F38" s="43"/>
    </row>
    <row r="39" customFormat="false" ht="12.75" hidden="false" customHeight="false" outlineLevel="0" collapsed="false">
      <c r="F39" s="43"/>
    </row>
    <row r="40" customFormat="false" ht="12.75" hidden="false" customHeight="false" outlineLevel="0" collapsed="false">
      <c r="F40" s="43"/>
    </row>
    <row r="41" customFormat="false" ht="12.75" hidden="false" customHeight="false" outlineLevel="0" collapsed="false">
      <c r="F41" s="43"/>
    </row>
    <row r="42" customFormat="false" ht="12.75" hidden="false" customHeight="false" outlineLevel="0" collapsed="false">
      <c r="F42" s="43"/>
    </row>
    <row r="43" customFormat="false" ht="12.75" hidden="false" customHeight="false" outlineLevel="0" collapsed="false">
      <c r="F43" s="43"/>
    </row>
    <row r="44" customFormat="false" ht="12.75" hidden="false" customHeight="false" outlineLevel="0" collapsed="false">
      <c r="F44" s="43"/>
    </row>
    <row r="45" customFormat="false" ht="12.75" hidden="false" customHeight="false" outlineLevel="0" collapsed="false">
      <c r="F45" s="43"/>
    </row>
    <row r="46" customFormat="false" ht="12.75" hidden="false" customHeight="false" outlineLevel="0" collapsed="false">
      <c r="F46" s="43"/>
    </row>
    <row r="47" customFormat="false" ht="12.75" hidden="false" customHeight="false" outlineLevel="0" collapsed="false">
      <c r="F47" s="43"/>
    </row>
    <row r="48" customFormat="false" ht="12.75" hidden="false" customHeight="false" outlineLevel="0" collapsed="false">
      <c r="F48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8">
              <controlPr defaultSize="0" print="false" autoFill="0" autoPict="0">
                <anchor moveWithCells="true" sizeWithCells="false">
                  <from>
                    <xdr:col>2</xdr:col>
                    <xdr:colOff>462600</xdr:colOff>
                    <xdr:row>14</xdr:row>
                    <xdr:rowOff>152640</xdr:rowOff>
                  </from>
                  <to>
                    <xdr:col>3</xdr:col>
                    <xdr:colOff>665280</xdr:colOff>
                    <xdr:row>18</xdr:row>
                    <xdr:rowOff>105120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9">
              <controlPr defaultSize="0" print="false" autoFill="0" autoPict="0" macro="Module2.service">
                <anchor moveWithCells="true" sizeWithCells="false">
                  <from>
                    <xdr:col>2</xdr:col>
                    <xdr:colOff>442080</xdr:colOff>
                    <xdr:row>22</xdr:row>
                    <xdr:rowOff>0</xdr:rowOff>
                  </from>
                  <to>
                    <xdr:col>3</xdr:col>
                    <xdr:colOff>645480</xdr:colOff>
                    <xdr:row>25</xdr:row>
                    <xdr:rowOff>114480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W67"/>
  <sheetViews>
    <sheetView showFormulas="false" showGridLines="true" showRowColHeaders="true" showZeros="true" rightToLeft="false" tabSelected="true" showOutlineSymbols="true" defaultGridColor="true" view="normal" topLeftCell="A30" colorId="64" zoomScale="75" zoomScaleNormal="75" zoomScalePageLayoutView="100" workbookViewId="0">
      <selection pane="topLeft" activeCell="F68" activeCellId="0" sqref="F6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3.85"/>
    <col collapsed="false" customWidth="true" hidden="false" outlineLevel="0" max="6" min="6" style="0" width="14.99"/>
    <col collapsed="false" customWidth="true" hidden="false" outlineLevel="0" max="7" min="7" style="0" width="18.56"/>
    <col collapsed="false" customWidth="true" hidden="false" outlineLevel="0" max="8" min="8" style="0" width="4.41"/>
    <col collapsed="false" customWidth="true" hidden="false" outlineLevel="0" max="9" min="9" style="0" width="14.41"/>
    <col collapsed="false" customWidth="true" hidden="false" outlineLevel="0" max="10" min="10" style="0" width="14.99"/>
    <col collapsed="false" customWidth="true" hidden="false" outlineLevel="0" max="11" min="11" style="0" width="13.99"/>
    <col collapsed="false" customWidth="true" hidden="false" outlineLevel="0" max="12" min="12" style="0" width="15.28"/>
    <col collapsed="false" customWidth="true" hidden="false" outlineLevel="0" max="13" min="13" style="0" width="12.14"/>
    <col collapsed="false" customWidth="true" hidden="false" outlineLevel="0" max="14" min="14" style="0" width="14.41"/>
    <col collapsed="false" customWidth="true" hidden="false" outlineLevel="0" max="15" min="15" style="0" width="12.56"/>
    <col collapsed="false" customWidth="true" hidden="false" outlineLevel="0" max="16" min="16" style="0" width="12.14"/>
    <col collapsed="false" customWidth="true" hidden="false" outlineLevel="0" max="17" min="17" style="0" width="14.7"/>
    <col collapsed="false" customWidth="true" hidden="false" outlineLevel="0" max="18" min="18" style="0" width="12.7"/>
    <col collapsed="false" customWidth="true" hidden="false" outlineLevel="0" max="19" min="19" style="0" width="13.41"/>
    <col collapsed="false" customWidth="true" hidden="false" outlineLevel="0" max="20" min="20" style="0" width="11.7"/>
    <col collapsed="false" customWidth="true" hidden="false" outlineLevel="0" max="21" min="21" style="0" width="13.56"/>
    <col collapsed="false" customWidth="true" hidden="false" outlineLevel="0" max="22" min="22" style="0" width="12.99"/>
    <col collapsed="false" customWidth="true" hidden="false" outlineLevel="0" max="23" min="23" style="0" width="12.28"/>
    <col collapsed="false" customWidth="true" hidden="false" outlineLevel="0" max="24" min="24" style="0" width="11.7"/>
    <col collapsed="false" customWidth="true" hidden="false" outlineLevel="0" max="25" min="25" style="0" width="13.41"/>
    <col collapsed="false" customWidth="true" hidden="false" outlineLevel="0" max="26" min="26" style="0" width="9.28"/>
    <col collapsed="false" customWidth="true" hidden="false" outlineLevel="0" max="27" min="27" style="0" width="13.41"/>
    <col collapsed="false" customWidth="true" hidden="false" outlineLevel="0" max="28" min="28" style="0" width="11.99"/>
  </cols>
  <sheetData>
    <row r="3" customFormat="false" ht="12.75" hidden="false" customHeight="false" outlineLevel="0" collapsed="false">
      <c r="B3" s="1" t="s">
        <v>50</v>
      </c>
    </row>
    <row r="5" customFormat="false" ht="12.75" hidden="false" customHeight="false" outlineLevel="0" collapsed="false">
      <c r="C5" s="38" t="s">
        <v>51</v>
      </c>
    </row>
    <row r="6" customFormat="false" ht="12.75" hidden="false" customHeight="false" outlineLevel="0" collapsed="false">
      <c r="C6" s="38" t="s">
        <v>52</v>
      </c>
      <c r="D6" s="38" t="s">
        <v>53</v>
      </c>
      <c r="E6" s="38" t="s">
        <v>54</v>
      </c>
      <c r="F6" s="38" t="s">
        <v>55</v>
      </c>
      <c r="G6" s="38" t="s">
        <v>56</v>
      </c>
    </row>
    <row r="7" customFormat="false" ht="12.75" hidden="false" customHeight="false" outlineLevel="0" collapsed="false">
      <c r="C7" s="51" t="s">
        <v>57</v>
      </c>
      <c r="D7" s="51" t="s">
        <v>57</v>
      </c>
      <c r="E7" s="51" t="s">
        <v>57</v>
      </c>
      <c r="F7" s="51" t="s">
        <v>57</v>
      </c>
      <c r="G7" s="51" t="s">
        <v>57</v>
      </c>
    </row>
    <row r="10" customFormat="false" ht="12.75" hidden="false" customHeight="false" outlineLevel="0" collapsed="false">
      <c r="C10" s="52" t="n">
        <f aca="false">Curves!D17</f>
        <v>0.0408476340022568</v>
      </c>
      <c r="D10" s="52" t="n">
        <f aca="false">(1+C10)^(360/365)-1</f>
        <v>0.0402769580960183</v>
      </c>
      <c r="E10" s="52" t="n">
        <f aca="false">(1+D10/2)^2-1</f>
        <v>0.0406825164343851</v>
      </c>
      <c r="F10" s="52" t="n">
        <f aca="false">12*((1+E10)^(1/12)-1)</f>
        <v>0.0399430936717113</v>
      </c>
      <c r="G10" s="53" t="n">
        <f aca="false">F10+'Finance Assumptions'!$G$8</f>
        <v>0.0464430936717113</v>
      </c>
    </row>
    <row r="11" customFormat="false" ht="12.75" hidden="false" customHeight="false" outlineLevel="0" collapsed="false">
      <c r="C11" s="52" t="n">
        <f aca="false">Curves!D18</f>
        <v>0.0392822448464347</v>
      </c>
      <c r="D11" s="52" t="n">
        <f aca="false">(1+C11)^(360/365)-1</f>
        <v>0.0387338432379796</v>
      </c>
      <c r="E11" s="52" t="n">
        <f aca="false">(1+D11/2)^2-1</f>
        <v>0.0391089208909756</v>
      </c>
      <c r="F11" s="52" t="n">
        <f aca="false">12*((1+E11)^(1/12)-1)</f>
        <v>0.0384249278310111</v>
      </c>
      <c r="G11" s="53" t="n">
        <f aca="false">F11+'Finance Assumptions'!$G$8</f>
        <v>0.0449249278310111</v>
      </c>
    </row>
    <row r="12" customFormat="false" ht="12.75" hidden="false" customHeight="false" outlineLevel="0" collapsed="false">
      <c r="C12" s="52" t="n">
        <f aca="false">Curves!D19</f>
        <v>0.0386735156293829</v>
      </c>
      <c r="D12" s="52" t="n">
        <f aca="false">(1+C12)^(360/365)-1</f>
        <v>0.038133767179565</v>
      </c>
      <c r="E12" s="52" t="n">
        <f aca="false">(1+D12/2)^2-1</f>
        <v>0.0384973132293913</v>
      </c>
      <c r="F12" s="52" t="n">
        <f aca="false">12*((1+E12)^(1/12)-1)</f>
        <v>0.0378342951763226</v>
      </c>
      <c r="G12" s="53" t="n">
        <f aca="false">F12+'Finance Assumptions'!$G$8</f>
        <v>0.0443342951763226</v>
      </c>
    </row>
    <row r="13" customFormat="false" ht="12.75" hidden="false" customHeight="false" outlineLevel="0" collapsed="false">
      <c r="C13" s="52" t="n">
        <f aca="false">Curves!D20</f>
        <v>0.0383719486083565</v>
      </c>
      <c r="D13" s="52" t="n">
        <f aca="false">(1+C13)^(360/365)-1</f>
        <v>0.037836485185486</v>
      </c>
      <c r="E13" s="52" t="n">
        <f aca="false">(1+D13/2)^2-1</f>
        <v>0.0381943850882838</v>
      </c>
      <c r="F13" s="52" t="n">
        <f aca="false">12*((1+E13)^(1/12)-1)</f>
        <v>0.0375416378319855</v>
      </c>
      <c r="G13" s="53" t="n">
        <f aca="false">F13+'Finance Assumptions'!$G$8</f>
        <v>0.0440416378319855</v>
      </c>
    </row>
    <row r="14" customFormat="false" ht="12.75" hidden="false" customHeight="false" outlineLevel="0" collapsed="false">
      <c r="C14" s="52" t="n">
        <f aca="false">Curves!D21</f>
        <v>0.0384074118179232</v>
      </c>
      <c r="D14" s="52" t="n">
        <f aca="false">(1+C14)^(360/365)-1</f>
        <v>0.0378714445524742</v>
      </c>
      <c r="E14" s="52" t="n">
        <f aca="false">(1+D14/2)^2-1</f>
        <v>0.0382300061305967</v>
      </c>
      <c r="F14" s="52" t="n">
        <f aca="false">12*((1+E14)^(1/12)-1)</f>
        <v>0.0375760552014866</v>
      </c>
      <c r="G14" s="53" t="n">
        <f aca="false">F14+'Finance Assumptions'!$G$8</f>
        <v>0.0440760552014865</v>
      </c>
    </row>
    <row r="15" customFormat="false" ht="12.75" hidden="false" customHeight="false" outlineLevel="0" collapsed="false">
      <c r="C15" s="52" t="n">
        <f aca="false">Curves!D22</f>
        <v>0.0384417310533896</v>
      </c>
      <c r="D15" s="52" t="n">
        <f aca="false">(1+C15)^(360/365)-1</f>
        <v>0.0379052761827703</v>
      </c>
      <c r="E15" s="52" t="n">
        <f aca="false">(1+D15/2)^2-1</f>
        <v>0.0382644786733932</v>
      </c>
      <c r="F15" s="52" t="n">
        <f aca="false">12*((1+E15)^(1/12)-1)</f>
        <v>0.0376093618498539</v>
      </c>
      <c r="G15" s="53" t="n">
        <f aca="false">F15+'Finance Assumptions'!$G$8</f>
        <v>0.0441093618498539</v>
      </c>
    </row>
    <row r="16" customFormat="false" ht="12.75" hidden="false" customHeight="false" outlineLevel="0" collapsed="false">
      <c r="C16" s="52" t="n">
        <f aca="false">Curves!D23</f>
        <v>0.0383985916205782</v>
      </c>
      <c r="D16" s="52" t="n">
        <f aca="false">(1+C16)^(360/365)-1</f>
        <v>0.0378627496693695</v>
      </c>
      <c r="E16" s="52" t="n">
        <f aca="false">(1+D16/2)^2-1</f>
        <v>0.0382211466225011</v>
      </c>
      <c r="F16" s="52" t="n">
        <f aca="false">12*((1+E16)^(1/12)-1)</f>
        <v>0.0375674951666989</v>
      </c>
      <c r="G16" s="53" t="n">
        <f aca="false">F16+'Finance Assumptions'!$G$8</f>
        <v>0.0440674951666989</v>
      </c>
    </row>
    <row r="19" customFormat="false" ht="12.75" hidden="false" customHeight="false" outlineLevel="0" collapsed="false">
      <c r="B19" s="1" t="s">
        <v>58</v>
      </c>
    </row>
    <row r="21" customFormat="false" ht="12.75" hidden="false" customHeight="false" outlineLevel="0" collapsed="false">
      <c r="I21" s="54" t="s">
        <v>59</v>
      </c>
      <c r="J21" s="54"/>
      <c r="K21" s="54"/>
      <c r="L21" s="54"/>
      <c r="M21" s="54"/>
      <c r="N21" s="54"/>
      <c r="O21" s="54"/>
      <c r="P21" s="54"/>
    </row>
    <row r="22" customFormat="false" ht="12.75" hidden="false" customHeight="false" outlineLevel="0" collapsed="false">
      <c r="L22" s="38" t="s">
        <v>60</v>
      </c>
      <c r="M22" s="38" t="s">
        <v>61</v>
      </c>
      <c r="O22" s="38" t="s">
        <v>62</v>
      </c>
      <c r="Q22" s="38" t="s">
        <v>63</v>
      </c>
    </row>
    <row r="23" customFormat="false" ht="12.75" hidden="false" customHeight="false" outlineLevel="0" collapsed="false">
      <c r="D23" s="38" t="s">
        <v>64</v>
      </c>
      <c r="E23" s="38" t="s">
        <v>64</v>
      </c>
      <c r="F23" s="38" t="s">
        <v>65</v>
      </c>
      <c r="G23" s="38" t="s">
        <v>66</v>
      </c>
      <c r="I23" s="38" t="s">
        <v>67</v>
      </c>
      <c r="J23" s="38" t="s">
        <v>64</v>
      </c>
      <c r="K23" s="38" t="s">
        <v>68</v>
      </c>
      <c r="L23" s="38" t="s">
        <v>68</v>
      </c>
      <c r="M23" s="38" t="s">
        <v>69</v>
      </c>
      <c r="N23" s="38" t="s">
        <v>70</v>
      </c>
      <c r="O23" s="38" t="s">
        <v>69</v>
      </c>
      <c r="P23" s="38" t="s">
        <v>70</v>
      </c>
      <c r="Q23" s="38" t="s">
        <v>4</v>
      </c>
      <c r="R23" s="38" t="s">
        <v>4</v>
      </c>
    </row>
    <row r="24" customFormat="false" ht="12.75" hidden="false" customHeight="false" outlineLevel="0" collapsed="false">
      <c r="D24" s="51" t="s">
        <v>71</v>
      </c>
      <c r="E24" s="51" t="s">
        <v>72</v>
      </c>
      <c r="F24" s="51" t="s">
        <v>12</v>
      </c>
      <c r="G24" s="51" t="s">
        <v>72</v>
      </c>
      <c r="I24" s="51" t="s">
        <v>73</v>
      </c>
      <c r="J24" s="51" t="s">
        <v>72</v>
      </c>
      <c r="K24" s="51" t="s">
        <v>73</v>
      </c>
      <c r="L24" s="51" t="s">
        <v>73</v>
      </c>
      <c r="M24" s="51" t="s">
        <v>74</v>
      </c>
      <c r="N24" s="51" t="s">
        <v>4</v>
      </c>
      <c r="O24" s="51" t="s">
        <v>75</v>
      </c>
      <c r="P24" s="51" t="s">
        <v>4</v>
      </c>
      <c r="Q24" s="51" t="s">
        <v>74</v>
      </c>
      <c r="R24" s="51" t="s">
        <v>76</v>
      </c>
    </row>
    <row r="25" customFormat="false" ht="12.75" hidden="false" customHeight="false" outlineLevel="0" collapsed="false">
      <c r="E25" s="38"/>
    </row>
    <row r="26" customFormat="false" ht="12.75" hidden="false" customHeight="false" outlineLevel="0" collapsed="false">
      <c r="F26" s="39" t="n">
        <f aca="false">'Finance Assumptions'!H13</f>
        <v>37071</v>
      </c>
    </row>
    <row r="27" customFormat="false" ht="12.75" hidden="false" customHeight="false" outlineLevel="0" collapsed="false">
      <c r="D27" s="39" t="n">
        <v>37073</v>
      </c>
      <c r="E27" s="55" t="n">
        <f aca="false">EOMONTH(D27,0)-EOMONTH(D27,-1)</f>
        <v>31</v>
      </c>
      <c r="F27" s="56" t="n">
        <f aca="false">D27+E27-1</f>
        <v>37103</v>
      </c>
      <c r="G27" s="57" t="n">
        <f aca="false">F27-$F$26</f>
        <v>32</v>
      </c>
    </row>
    <row r="28" customFormat="false" ht="12.75" hidden="false" customHeight="false" outlineLevel="0" collapsed="false">
      <c r="D28" s="39" t="n">
        <v>37104</v>
      </c>
      <c r="E28" s="55" t="n">
        <f aca="false">EOMONTH(D28,0)-EOMONTH(D28,-1)</f>
        <v>31</v>
      </c>
      <c r="F28" s="56" t="n">
        <f aca="false">D28+E28-1</f>
        <v>37134</v>
      </c>
      <c r="G28" s="57" t="n">
        <f aca="false">F28-$F$26</f>
        <v>63</v>
      </c>
    </row>
    <row r="29" customFormat="false" ht="12.75" hidden="false" customHeight="false" outlineLevel="0" collapsed="false">
      <c r="D29" s="39" t="n">
        <v>37135</v>
      </c>
      <c r="E29" s="55" t="n">
        <f aca="false">EOMONTH(D29,0)-EOMONTH(D29,-1)</f>
        <v>30</v>
      </c>
      <c r="F29" s="56" t="n">
        <f aca="false">D29+E29-1</f>
        <v>37164</v>
      </c>
      <c r="G29" s="57" t="n">
        <f aca="false">F29-$F$26</f>
        <v>93</v>
      </c>
    </row>
    <row r="30" customFormat="false" ht="12.75" hidden="false" customHeight="false" outlineLevel="0" collapsed="false">
      <c r="D30" s="39" t="n">
        <v>37165</v>
      </c>
      <c r="E30" s="55" t="n">
        <f aca="false">EOMONTH(D30,0)-EOMONTH(D30,-1)</f>
        <v>31</v>
      </c>
      <c r="F30" s="56" t="n">
        <f aca="false">D30+E30-1</f>
        <v>37195</v>
      </c>
      <c r="G30" s="57" t="n">
        <f aca="false">F30-$F$26</f>
        <v>124</v>
      </c>
      <c r="I30" s="1" t="s">
        <v>77</v>
      </c>
      <c r="L30" s="58"/>
    </row>
    <row r="31" customFormat="false" ht="12.75" hidden="false" customHeight="false" outlineLevel="0" collapsed="false">
      <c r="D31" s="39" t="n">
        <v>37196</v>
      </c>
      <c r="E31" s="55" t="n">
        <f aca="false">EOMONTH(D31,0)-EOMONTH(D31,-1)</f>
        <v>30</v>
      </c>
      <c r="F31" s="56" t="n">
        <f aca="false">D31+E31-1</f>
        <v>37225</v>
      </c>
      <c r="G31" s="57" t="n">
        <f aca="false">F31-$F$26</f>
        <v>154</v>
      </c>
    </row>
    <row r="32" customFormat="false" ht="12.75" hidden="false" customHeight="false" outlineLevel="0" collapsed="false">
      <c r="D32" s="39" t="n">
        <v>37226</v>
      </c>
      <c r="E32" s="55" t="n">
        <f aca="false">EOMONTH(D32,0)-EOMONTH(D32,-1)</f>
        <v>31</v>
      </c>
      <c r="F32" s="56" t="n">
        <f aca="false">D32+E32-4</f>
        <v>37253</v>
      </c>
      <c r="G32" s="57" t="n">
        <f aca="false">F32-$F$26</f>
        <v>182</v>
      </c>
      <c r="I32" s="12" t="n">
        <f aca="false">'Finance Assumptions'!Q27</f>
        <v>1796032.84236903</v>
      </c>
      <c r="J32" s="0" t="n">
        <f aca="false">E34</f>
        <v>31</v>
      </c>
      <c r="K32" s="12" t="n">
        <f aca="false">J32*I32</f>
        <v>55677018.11344</v>
      </c>
      <c r="L32" s="12" t="n">
        <f aca="false">(1/(((1+$C$16/2))^(2*$G$33/365.25)))*K32</f>
        <v>54608999.563128</v>
      </c>
      <c r="M32" s="0" t="n">
        <f aca="false">Curves!E23</f>
        <v>4.578</v>
      </c>
      <c r="N32" s="12" t="n">
        <f aca="false">L32*M32</f>
        <v>250000000</v>
      </c>
      <c r="O32" s="59" t="n">
        <f aca="false">'Finance Assumptions'!Q33</f>
        <v>0</v>
      </c>
      <c r="P32" s="12" t="n">
        <f aca="false">O32*L32</f>
        <v>0</v>
      </c>
      <c r="Q32" s="60" t="n">
        <f aca="false">N32-P32</f>
        <v>250000000</v>
      </c>
    </row>
    <row r="33" customFormat="false" ht="12.75" hidden="false" customHeight="false" outlineLevel="0" collapsed="false">
      <c r="D33" s="39"/>
      <c r="E33" s="55"/>
      <c r="F33" s="56" t="n">
        <v>37257</v>
      </c>
      <c r="G33" s="57" t="n">
        <f aca="false">F33-$F$26</f>
        <v>186</v>
      </c>
      <c r="I33" s="12"/>
      <c r="K33" s="12"/>
      <c r="L33" s="12"/>
      <c r="M33" s="61"/>
      <c r="N33" s="12"/>
      <c r="O33" s="59"/>
      <c r="P33" s="12"/>
      <c r="Q33" s="60"/>
    </row>
    <row r="34" customFormat="false" ht="12.75" hidden="false" customHeight="false" outlineLevel="0" collapsed="false">
      <c r="D34" s="39" t="n">
        <v>37257</v>
      </c>
      <c r="E34" s="55" t="n">
        <f aca="false">EOMONTH(D34,0)-EOMONTH(D34,-1)</f>
        <v>31</v>
      </c>
      <c r="F34" s="56" t="n">
        <f aca="false">D34+E34-1</f>
        <v>37287</v>
      </c>
      <c r="G34" s="57" t="n">
        <f aca="false">F34-$F$26</f>
        <v>216</v>
      </c>
      <c r="I34" s="1" t="s">
        <v>78</v>
      </c>
    </row>
    <row r="35" customFormat="false" ht="12.75" hidden="false" customHeight="false" outlineLevel="0" collapsed="false">
      <c r="D35" s="39"/>
      <c r="E35" s="55"/>
      <c r="F35" s="56"/>
      <c r="G35" s="57"/>
    </row>
    <row r="36" customFormat="false" ht="12.75" hidden="false" customHeight="false" outlineLevel="0" collapsed="false">
      <c r="D36" s="39"/>
      <c r="E36" s="55"/>
      <c r="F36" s="56"/>
      <c r="G36" s="57"/>
      <c r="I36" s="60" t="n">
        <f aca="false">I32</f>
        <v>1796032.84236903</v>
      </c>
      <c r="J36" s="0" t="n">
        <f aca="false">J32</f>
        <v>31</v>
      </c>
      <c r="K36" s="12" t="n">
        <f aca="false">J36*I36</f>
        <v>55677018.11344</v>
      </c>
      <c r="L36" s="12" t="n">
        <f aca="false">(1/(((1+($C$16+'Finance Assumptions'!$G$23)/2))^(2*$G$59/365.25)))*K36</f>
        <v>54459338.2772408</v>
      </c>
      <c r="M36" s="0" t="n">
        <f aca="false">M32</f>
        <v>4.578</v>
      </c>
      <c r="N36" s="12" t="n">
        <f aca="false">L36*M36</f>
        <v>249314850.633209</v>
      </c>
      <c r="O36" s="59" t="n">
        <f aca="false">O32</f>
        <v>0</v>
      </c>
      <c r="P36" s="12" t="n">
        <f aca="false">O36*L36</f>
        <v>0</v>
      </c>
      <c r="Q36" s="60" t="n">
        <f aca="false">N36-P36</f>
        <v>249314850.633209</v>
      </c>
      <c r="R36" s="60" t="n">
        <f aca="false">Q36-Q32</f>
        <v>-685149.366791368</v>
      </c>
    </row>
    <row r="37" customFormat="false" ht="12.75" hidden="false" customHeight="false" outlineLevel="0" collapsed="false">
      <c r="D37" s="39"/>
      <c r="E37" s="55"/>
      <c r="F37" s="56"/>
      <c r="G37" s="57"/>
      <c r="L37" s="12"/>
      <c r="M37" s="61"/>
      <c r="Q37" s="60"/>
      <c r="R37" s="60"/>
    </row>
    <row r="38" customFormat="false" ht="12.75" hidden="false" customHeight="false" outlineLevel="0" collapsed="false">
      <c r="D38" s="39"/>
      <c r="E38" s="55"/>
      <c r="F38" s="56"/>
      <c r="G38" s="57"/>
      <c r="I38" s="1" t="s">
        <v>79</v>
      </c>
    </row>
    <row r="39" customFormat="false" ht="12.75" hidden="false" customHeight="false" outlineLevel="0" collapsed="false">
      <c r="D39" s="39"/>
      <c r="E39" s="55"/>
      <c r="F39" s="56"/>
      <c r="G39" s="57"/>
    </row>
    <row r="40" customFormat="false" ht="12.75" hidden="false" customHeight="false" outlineLevel="0" collapsed="false">
      <c r="D40" s="39"/>
      <c r="E40" s="55"/>
      <c r="F40" s="56"/>
      <c r="G40" s="57"/>
      <c r="I40" s="60" t="n">
        <f aca="false">I32</f>
        <v>1796032.84236903</v>
      </c>
      <c r="J40" s="0" t="n">
        <f aca="false">J32</f>
        <v>31</v>
      </c>
      <c r="K40" s="12" t="n">
        <f aca="false">J40*I40</f>
        <v>55677018.11344</v>
      </c>
      <c r="L40" s="12" t="n">
        <f aca="false">(1/(((1+($C$16+'Finance Assumptions'!$G$8)/2))^(2*$G$59/365.25)))*K40</f>
        <v>54432214.4270696</v>
      </c>
      <c r="M40" s="0" t="n">
        <f aca="false">M32</f>
        <v>4.578</v>
      </c>
      <c r="N40" s="12" t="n">
        <f aca="false">L40*M40</f>
        <v>249190677.647125</v>
      </c>
      <c r="O40" s="59" t="n">
        <f aca="false">O32</f>
        <v>0</v>
      </c>
      <c r="P40" s="12" t="n">
        <f aca="false">O40*L40</f>
        <v>0</v>
      </c>
      <c r="Q40" s="60" t="n">
        <f aca="false">N40-P40</f>
        <v>249190677.647125</v>
      </c>
      <c r="R40" s="60" t="n">
        <f aca="false">Q40-Q32</f>
        <v>-809322.352875471</v>
      </c>
    </row>
    <row r="41" customFormat="false" ht="12.75" hidden="false" customHeight="false" outlineLevel="0" collapsed="false">
      <c r="L41" s="12"/>
      <c r="M41" s="61"/>
      <c r="Q41" s="60"/>
      <c r="R41" s="60"/>
    </row>
    <row r="42" customFormat="false" ht="12.75" hidden="false" customHeight="false" outlineLevel="0" collapsed="false">
      <c r="F42" s="55"/>
      <c r="N42" s="1" t="s">
        <v>80</v>
      </c>
      <c r="R42" s="62" t="n">
        <f aca="false">R36+W62</f>
        <v>-700673.196122021</v>
      </c>
    </row>
    <row r="43" customFormat="false" ht="12.75" hidden="false" customHeight="false" outlineLevel="0" collapsed="false">
      <c r="F43" s="55"/>
      <c r="M43" s="0" t="s">
        <v>81</v>
      </c>
      <c r="N43" s="1" t="s">
        <v>82</v>
      </c>
      <c r="R43" s="62" t="n">
        <f aca="false">R40+W66</f>
        <v>-827659.642068833</v>
      </c>
    </row>
    <row r="44" customFormat="false" ht="12.75" hidden="false" customHeight="false" outlineLevel="0" collapsed="false">
      <c r="F44" s="55"/>
      <c r="N44" s="1" t="s">
        <v>83</v>
      </c>
      <c r="R44" s="62" t="n">
        <f aca="false">R43-R42</f>
        <v>-126986.445946813</v>
      </c>
    </row>
    <row r="45" customFormat="false" ht="12.75" hidden="false" customHeight="false" outlineLevel="0" collapsed="false">
      <c r="B45" s="1" t="s">
        <v>84</v>
      </c>
      <c r="F45" s="55"/>
    </row>
    <row r="46" customFormat="false" ht="12.75" hidden="false" customHeight="false" outlineLevel="0" collapsed="false">
      <c r="F46" s="55"/>
    </row>
    <row r="47" customFormat="false" ht="12.75" hidden="false" customHeight="false" outlineLevel="0" collapsed="false">
      <c r="F47" s="55"/>
      <c r="N47" s="54" t="s">
        <v>59</v>
      </c>
      <c r="O47" s="54"/>
      <c r="P47" s="54"/>
      <c r="Q47" s="54"/>
      <c r="R47" s="54"/>
      <c r="S47" s="54"/>
      <c r="T47" s="54"/>
      <c r="U47" s="54"/>
      <c r="V47" s="54"/>
    </row>
    <row r="48" customFormat="false" ht="12.75" hidden="false" customHeight="false" outlineLevel="0" collapsed="false">
      <c r="F48" s="55"/>
      <c r="Q48" s="38" t="s">
        <v>60</v>
      </c>
      <c r="R48" s="38" t="s">
        <v>61</v>
      </c>
      <c r="T48" s="38" t="s">
        <v>62</v>
      </c>
      <c r="V48" s="38" t="s">
        <v>63</v>
      </c>
    </row>
    <row r="49" customFormat="false" ht="12.75" hidden="false" customHeight="false" outlineLevel="0" collapsed="false">
      <c r="D49" s="38" t="s">
        <v>64</v>
      </c>
      <c r="E49" s="38" t="s">
        <v>64</v>
      </c>
      <c r="F49" s="38" t="s">
        <v>65</v>
      </c>
      <c r="G49" s="38" t="s">
        <v>66</v>
      </c>
      <c r="I49" s="38" t="s">
        <v>85</v>
      </c>
      <c r="J49" s="38" t="s">
        <v>6</v>
      </c>
      <c r="K49" s="38" t="s">
        <v>86</v>
      </c>
      <c r="L49" s="38" t="s">
        <v>87</v>
      </c>
      <c r="N49" s="38" t="s">
        <v>67</v>
      </c>
      <c r="O49" s="38" t="s">
        <v>64</v>
      </c>
      <c r="P49" s="38" t="s">
        <v>68</v>
      </c>
      <c r="Q49" s="38" t="s">
        <v>68</v>
      </c>
      <c r="R49" s="38" t="s">
        <v>69</v>
      </c>
      <c r="S49" s="38" t="s">
        <v>70</v>
      </c>
      <c r="T49" s="38" t="s">
        <v>69</v>
      </c>
      <c r="U49" s="38" t="s">
        <v>70</v>
      </c>
      <c r="V49" s="38" t="s">
        <v>4</v>
      </c>
      <c r="W49" s="38" t="s">
        <v>4</v>
      </c>
    </row>
    <row r="50" customFormat="false" ht="12.75" hidden="false" customHeight="false" outlineLevel="0" collapsed="false">
      <c r="D50" s="51" t="s">
        <v>71</v>
      </c>
      <c r="E50" s="51" t="s">
        <v>72</v>
      </c>
      <c r="F50" s="51" t="s">
        <v>12</v>
      </c>
      <c r="G50" s="51" t="s">
        <v>72</v>
      </c>
      <c r="I50" s="51" t="s">
        <v>4</v>
      </c>
      <c r="J50" s="51" t="s">
        <v>88</v>
      </c>
      <c r="K50" s="51" t="s">
        <v>89</v>
      </c>
      <c r="L50" s="51" t="s">
        <v>90</v>
      </c>
      <c r="N50" s="51" t="s">
        <v>73</v>
      </c>
      <c r="O50" s="51" t="s">
        <v>72</v>
      </c>
      <c r="P50" s="51" t="s">
        <v>73</v>
      </c>
      <c r="Q50" s="51" t="s">
        <v>73</v>
      </c>
      <c r="R50" s="51" t="s">
        <v>75</v>
      </c>
      <c r="S50" s="51" t="s">
        <v>4</v>
      </c>
      <c r="T50" s="51" t="s">
        <v>74</v>
      </c>
      <c r="U50" s="51" t="s">
        <v>4</v>
      </c>
      <c r="V50" s="51" t="s">
        <v>74</v>
      </c>
      <c r="W50" s="51" t="s">
        <v>76</v>
      </c>
    </row>
    <row r="51" customFormat="false" ht="12.75" hidden="false" customHeight="false" outlineLevel="0" collapsed="false">
      <c r="E51" s="38"/>
    </row>
    <row r="52" customFormat="false" ht="12.75" hidden="false" customHeight="false" outlineLevel="0" collapsed="false">
      <c r="F52" s="39" t="n">
        <f aca="false">'Finance Assumptions'!H13</f>
        <v>37071</v>
      </c>
      <c r="I52" s="60" t="n">
        <f aca="false">Q32</f>
        <v>250000000</v>
      </c>
      <c r="J52" s="60" t="n">
        <f aca="false">I52*'Finance Assumptions'!H8</f>
        <v>1000000</v>
      </c>
      <c r="L52" s="60" t="n">
        <f aca="false">J52+K52</f>
        <v>1000000</v>
      </c>
    </row>
    <row r="53" customFormat="false" ht="12.75" hidden="false" customHeight="false" outlineLevel="0" collapsed="false">
      <c r="D53" s="39" t="n">
        <v>37073</v>
      </c>
      <c r="E53" s="55" t="n">
        <f aca="false">EOMONTH(D53,0)-EOMONTH(D53,-1)</f>
        <v>31</v>
      </c>
      <c r="F53" s="56" t="n">
        <f aca="false">D53+E53-1</f>
        <v>37103</v>
      </c>
      <c r="G53" s="57" t="n">
        <f aca="false">F53-$F$26</f>
        <v>32</v>
      </c>
      <c r="I53" s="60" t="n">
        <f aca="false">I52</f>
        <v>250000000</v>
      </c>
      <c r="K53" s="60" t="n">
        <f aca="false">((F53-F52)/360)*('Finance Assumptions'!$H$41+'Finance Assumptions'!$G$8)*Prepay!I53</f>
        <v>986666.666666667</v>
      </c>
      <c r="L53" s="60" t="n">
        <f aca="false">J53+K53</f>
        <v>986666.666666667</v>
      </c>
    </row>
    <row r="54" customFormat="false" ht="12.75" hidden="false" customHeight="false" outlineLevel="0" collapsed="false">
      <c r="D54" s="39" t="n">
        <v>37104</v>
      </c>
      <c r="E54" s="55" t="n">
        <f aca="false">EOMONTH(D54,0)-EOMONTH(D54,-1)</f>
        <v>31</v>
      </c>
      <c r="F54" s="56" t="n">
        <f aca="false">D54+E54-1</f>
        <v>37134</v>
      </c>
      <c r="G54" s="57" t="n">
        <f aca="false">F54-$F$26</f>
        <v>63</v>
      </c>
      <c r="I54" s="60" t="n">
        <f aca="false">I53+K53</f>
        <v>250986666.666667</v>
      </c>
      <c r="K54" s="60" t="n">
        <f aca="false">((F54-F53)/360)*('Finance Assumptions'!$H$41+'Finance Assumptions'!$G$8)*Prepay!I54</f>
        <v>959605.688888889</v>
      </c>
      <c r="L54" s="60" t="n">
        <f aca="false">J54+K54</f>
        <v>959605.688888889</v>
      </c>
    </row>
    <row r="55" customFormat="false" ht="12.75" hidden="false" customHeight="false" outlineLevel="0" collapsed="false">
      <c r="D55" s="39" t="n">
        <v>37135</v>
      </c>
      <c r="E55" s="55" t="n">
        <f aca="false">EOMONTH(D55,0)-EOMONTH(D55,-1)</f>
        <v>30</v>
      </c>
      <c r="F55" s="56" t="n">
        <f aca="false">D55+E55-1</f>
        <v>37164</v>
      </c>
      <c r="G55" s="57" t="n">
        <f aca="false">F55-$F$26</f>
        <v>93</v>
      </c>
      <c r="I55" s="60" t="n">
        <f aca="false">I54+K54</f>
        <v>251946272.355556</v>
      </c>
      <c r="K55" s="60" t="n">
        <f aca="false">((F55-F54)/360)*('Finance Assumptions'!$H$41+'Finance Assumptions'!$G$8)*Prepay!I55</f>
        <v>932201.207715555</v>
      </c>
      <c r="L55" s="60" t="n">
        <f aca="false">J55+K55</f>
        <v>932201.207715555</v>
      </c>
    </row>
    <row r="56" customFormat="false" ht="12.75" hidden="false" customHeight="false" outlineLevel="0" collapsed="false">
      <c r="D56" s="39" t="n">
        <v>37165</v>
      </c>
      <c r="E56" s="55" t="n">
        <f aca="false">EOMONTH(D56,0)-EOMONTH(D56,-1)</f>
        <v>31</v>
      </c>
      <c r="F56" s="56" t="n">
        <f aca="false">D56+E56-1</f>
        <v>37195</v>
      </c>
      <c r="G56" s="57" t="n">
        <f aca="false">F56-$F$26</f>
        <v>124</v>
      </c>
      <c r="I56" s="60" t="n">
        <f aca="false">I55+K55</f>
        <v>252878473.563271</v>
      </c>
      <c r="K56" s="60" t="n">
        <f aca="false">((F56-F55)/360)*('Finance Assumptions'!$H$41+'Finance Assumptions'!$G$8)*Prepay!I56</f>
        <v>966838.697256906</v>
      </c>
      <c r="L56" s="60" t="n">
        <f aca="false">J56+K56</f>
        <v>966838.697256906</v>
      </c>
      <c r="N56" s="1" t="s">
        <v>77</v>
      </c>
    </row>
    <row r="57" customFormat="false" ht="12.75" hidden="false" customHeight="false" outlineLevel="0" collapsed="false">
      <c r="D57" s="39" t="n">
        <v>37196</v>
      </c>
      <c r="E57" s="55" t="n">
        <f aca="false">EOMONTH(D57,0)-EOMONTH(D57,-1)</f>
        <v>30</v>
      </c>
      <c r="F57" s="56" t="n">
        <f aca="false">D57+E57-1</f>
        <v>37225</v>
      </c>
      <c r="G57" s="57" t="n">
        <f aca="false">F57-$F$26</f>
        <v>154</v>
      </c>
      <c r="I57" s="60" t="n">
        <f aca="false">I56+K56</f>
        <v>253845312.260528</v>
      </c>
      <c r="K57" s="60" t="n">
        <f aca="false">((F57-F56)/360)*('Finance Assumptions'!$H$41+'Finance Assumptions'!$G$8)*Prepay!I57</f>
        <v>939227.655363953</v>
      </c>
      <c r="L57" s="60" t="n">
        <f aca="false">J57+K57</f>
        <v>939227.655363953</v>
      </c>
    </row>
    <row r="58" customFormat="false" ht="15" hidden="false" customHeight="false" outlineLevel="0" collapsed="false">
      <c r="D58" s="39" t="n">
        <v>37226</v>
      </c>
      <c r="E58" s="55" t="n">
        <f aca="false">EOMONTH(D58,0)-EOMONTH(D58,-1)</f>
        <v>31</v>
      </c>
      <c r="F58" s="56" t="n">
        <f aca="false">D58+E58-4</f>
        <v>37253</v>
      </c>
      <c r="G58" s="57" t="n">
        <f aca="false">F58-$F$26</f>
        <v>182</v>
      </c>
      <c r="I58" s="60" t="n">
        <f aca="false">I57+K57</f>
        <v>254784539.915892</v>
      </c>
      <c r="K58" s="60" t="n">
        <f aca="false">((F58-F57)/360)*('Finance Assumptions'!$H$41+'Finance Assumptions'!$G$8)*Prepay!I58</f>
        <v>879855.944509547</v>
      </c>
      <c r="L58" s="63" t="n">
        <f aca="false">J58+K58</f>
        <v>879855.944509547</v>
      </c>
      <c r="N58" s="12" t="n">
        <f aca="false">'Finance Assumptions'!Q28</f>
        <v>1796032.84236903</v>
      </c>
      <c r="O58" s="0" t="n">
        <f aca="false">E60</f>
        <v>31</v>
      </c>
      <c r="P58" s="12" t="n">
        <f aca="false">O58*N58</f>
        <v>55677018.11344</v>
      </c>
      <c r="Q58" s="12" t="n">
        <f aca="false">(1/(((1+$C$16/2))^(2*$G$59/365.25)))*P58</f>
        <v>54608999.563128</v>
      </c>
      <c r="R58" s="64" t="n">
        <f aca="false">Curves!E23</f>
        <v>4.578</v>
      </c>
      <c r="S58" s="12" t="n">
        <f aca="false">Q58*R58</f>
        <v>250000000</v>
      </c>
      <c r="T58" s="65" t="n">
        <f aca="false">'Finance Assumptions'!Q34</f>
        <v>4.681726419552</v>
      </c>
      <c r="U58" s="12" t="n">
        <f aca="false">T58*Q58</f>
        <v>255664396</v>
      </c>
      <c r="V58" s="60" t="n">
        <f aca="false">U58-S58</f>
        <v>5664395.99999997</v>
      </c>
    </row>
    <row r="59" customFormat="false" ht="12.75" hidden="false" customHeight="false" outlineLevel="0" collapsed="false">
      <c r="D59" s="39"/>
      <c r="E59" s="55"/>
      <c r="F59" s="56" t="n">
        <v>37257</v>
      </c>
      <c r="G59" s="57" t="n">
        <f aca="false">F59-$F$26</f>
        <v>186</v>
      </c>
      <c r="I59" s="60" t="n">
        <f aca="false">I58+K58</f>
        <v>255664395.860401</v>
      </c>
      <c r="K59" s="60"/>
      <c r="L59" s="60"/>
      <c r="Q59" s="12"/>
      <c r="V59" s="60"/>
    </row>
    <row r="60" customFormat="false" ht="12.75" hidden="false" customHeight="false" outlineLevel="0" collapsed="false">
      <c r="D60" s="39" t="n">
        <v>37257</v>
      </c>
      <c r="E60" s="55" t="n">
        <f aca="false">EOMONTH(D60,0)-EOMONTH(D60,-1)</f>
        <v>31</v>
      </c>
      <c r="F60" s="56" t="n">
        <f aca="false">D60+E60-1</f>
        <v>37287</v>
      </c>
      <c r="G60" s="57" t="n">
        <f aca="false">F60-$F$26</f>
        <v>216</v>
      </c>
      <c r="N60" s="1" t="s">
        <v>78</v>
      </c>
    </row>
    <row r="61" customFormat="false" ht="12.75" hidden="false" customHeight="false" outlineLevel="0" collapsed="false">
      <c r="J61" s="1" t="s">
        <v>91</v>
      </c>
      <c r="L61" s="60" t="n">
        <f aca="false">SUM(L53:L58)</f>
        <v>5664395.86040152</v>
      </c>
    </row>
    <row r="62" customFormat="false" ht="12.75" hidden="false" customHeight="false" outlineLevel="0" collapsed="false">
      <c r="J62" s="1" t="s">
        <v>90</v>
      </c>
      <c r="L62" s="60" t="n">
        <f aca="false">SUM(L52:L58)</f>
        <v>6664395.86040152</v>
      </c>
      <c r="N62" s="60" t="n">
        <f aca="false">N58</f>
        <v>1796032.84236903</v>
      </c>
      <c r="O62" s="0" t="n">
        <f aca="false">O58</f>
        <v>31</v>
      </c>
      <c r="P62" s="12" t="n">
        <f aca="false">O62*N62</f>
        <v>55677018.11344</v>
      </c>
      <c r="Q62" s="12" t="n">
        <f aca="false">(1/(((1+($C$16+'Finance Assumptions'!$G$23)/2))^(2*$G$59/365.25)))*P62</f>
        <v>54459338.2772408</v>
      </c>
      <c r="R62" s="64" t="n">
        <f aca="false">R58</f>
        <v>4.578</v>
      </c>
      <c r="S62" s="12" t="n">
        <f aca="false">Q62*R62</f>
        <v>249314850.633209</v>
      </c>
      <c r="T62" s="65" t="n">
        <f aca="false">T58</f>
        <v>4.681726419552</v>
      </c>
      <c r="U62" s="12" t="n">
        <f aca="false">T62*Q62</f>
        <v>254963722.803878</v>
      </c>
      <c r="V62" s="60" t="n">
        <f aca="false">U62-S62</f>
        <v>5648872.17066932</v>
      </c>
      <c r="W62" s="60" t="n">
        <f aca="false">V62-V58</f>
        <v>-15523.829330653</v>
      </c>
    </row>
    <row r="63" customFormat="false" ht="12.75" hidden="false" customHeight="false" outlineLevel="0" collapsed="false">
      <c r="Q63" s="12"/>
      <c r="V63" s="60"/>
    </row>
    <row r="64" customFormat="false" ht="12.75" hidden="false" customHeight="false" outlineLevel="0" collapsed="false">
      <c r="N64" s="1" t="s">
        <v>79</v>
      </c>
    </row>
    <row r="66" customFormat="false" ht="12.75" hidden="false" customHeight="false" outlineLevel="0" collapsed="false">
      <c r="N66" s="60" t="n">
        <f aca="false">N58</f>
        <v>1796032.84236903</v>
      </c>
      <c r="O66" s="0" t="n">
        <f aca="false">O58</f>
        <v>31</v>
      </c>
      <c r="P66" s="12" t="n">
        <f aca="false">O66*N66</f>
        <v>55677018.11344</v>
      </c>
      <c r="Q66" s="12" t="n">
        <f aca="false">(1/(((1+($C$16+'Finance Assumptions'!$G$8)/2))^(2*$G$59/365.25)))*P66</f>
        <v>54432214.4270696</v>
      </c>
      <c r="R66" s="64" t="n">
        <f aca="false">R58</f>
        <v>4.578</v>
      </c>
      <c r="S66" s="12" t="n">
        <f aca="false">Q66*R66</f>
        <v>249190677.647125</v>
      </c>
      <c r="T66" s="65" t="n">
        <f aca="false">T58</f>
        <v>4.681726419552</v>
      </c>
      <c r="U66" s="12" t="n">
        <f aca="false">T66*Q66</f>
        <v>254836736.357931</v>
      </c>
      <c r="V66" s="60" t="n">
        <f aca="false">U66-S66</f>
        <v>5646058.71080661</v>
      </c>
      <c r="W66" s="60" t="n">
        <f aca="false">V66-V58</f>
        <v>-18337.289193362</v>
      </c>
    </row>
    <row r="67" customFormat="false" ht="12.75" hidden="false" customHeight="false" outlineLevel="0" collapsed="false">
      <c r="Q67" s="12"/>
      <c r="V67" s="60"/>
    </row>
  </sheetData>
  <mergeCells count="2">
    <mergeCell ref="I21:P21"/>
    <mergeCell ref="N47:V4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8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37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6" topLeftCell="S7" activePane="bottomRight" state="frozen"/>
      <selection pane="topLeft" activeCell="A1" activeCellId="0" sqref="A1"/>
      <selection pane="topRight" activeCell="S1" activeCellId="0" sqref="S1"/>
      <selection pane="bottomLeft" activeCell="A7" activeCellId="0" sqref="A7"/>
      <selection pane="bottomRight" activeCell="W10" activeCellId="0" sqref="W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6" width="14.14"/>
    <col collapsed="false" customWidth="true" hidden="false" outlineLevel="0" max="2" min="2" style="66" width="14.56"/>
    <col collapsed="false" customWidth="true" hidden="false" outlineLevel="0" max="4" min="3" style="66" width="16.42"/>
    <col collapsed="false" customWidth="true" hidden="false" outlineLevel="0" max="5" min="5" style="66" width="14.85"/>
    <col collapsed="false" customWidth="true" hidden="false" outlineLevel="0" max="6" min="6" style="66" width="13.85"/>
    <col collapsed="false" customWidth="true" hidden="false" outlineLevel="0" max="7" min="7" style="66" width="10.71"/>
    <col collapsed="false" customWidth="true" hidden="false" outlineLevel="0" max="8" min="8" style="66" width="18.14"/>
    <col collapsed="false" customWidth="true" hidden="false" outlineLevel="0" max="9" min="9" style="66" width="22.56"/>
    <col collapsed="false" customWidth="true" hidden="false" outlineLevel="0" max="10" min="10" style="66" width="25.85"/>
    <col collapsed="false" customWidth="true" hidden="false" outlineLevel="0" max="12" min="11" style="67" width="19.28"/>
    <col collapsed="false" customWidth="true" hidden="false" outlineLevel="0" max="13" min="13" style="67" width="24.99"/>
    <col collapsed="false" customWidth="true" hidden="false" outlineLevel="0" max="15" min="14" style="67" width="19.28"/>
    <col collapsed="false" customWidth="true" hidden="false" outlineLevel="0" max="16" min="16" style="67" width="3.14"/>
    <col collapsed="false" customWidth="true" hidden="false" outlineLevel="0" max="17" min="17" style="67" width="16.7"/>
    <col collapsed="false" customWidth="true" hidden="false" outlineLevel="0" max="18" min="18" style="67" width="18.56"/>
    <col collapsed="false" customWidth="true" hidden="false" outlineLevel="0" max="19" min="19" style="67" width="16.7"/>
    <col collapsed="false" customWidth="true" hidden="false" outlineLevel="0" max="20" min="20" style="66" width="3.14"/>
    <col collapsed="false" customWidth="true" hidden="false" outlineLevel="0" max="27" min="21" style="67" width="10.71"/>
    <col collapsed="false" customWidth="true" hidden="false" outlineLevel="0" max="28" min="28" style="66" width="4.28"/>
    <col collapsed="false" customWidth="true" hidden="false" outlineLevel="0" max="29" min="29" style="66" width="18.41"/>
    <col collapsed="false" customWidth="true" hidden="false" outlineLevel="0" max="30" min="30" style="66" width="6.28"/>
    <col collapsed="false" customWidth="false" hidden="false" outlineLevel="0" max="257" min="31" style="66" width="9.14"/>
  </cols>
  <sheetData>
    <row r="1" customFormat="false" ht="13.5" hidden="false" customHeight="false" outlineLevel="0" collapsed="false">
      <c r="A1" s="68"/>
      <c r="B1" s="69" t="s">
        <v>92</v>
      </c>
      <c r="C1" s="70"/>
      <c r="D1" s="70"/>
      <c r="E1" s="0"/>
      <c r="H1" s="71" t="s">
        <v>93</v>
      </c>
      <c r="I1" s="67" t="s">
        <v>94</v>
      </c>
      <c r="J1" s="67" t="s">
        <v>95</v>
      </c>
      <c r="K1" s="72" t="s">
        <v>96</v>
      </c>
      <c r="L1" s="73" t="s">
        <v>97</v>
      </c>
      <c r="M1" s="74"/>
    </row>
    <row r="2" customFormat="false" ht="12.75" hidden="false" customHeight="false" outlineLevel="0" collapsed="false">
      <c r="A2" s="71" t="s">
        <v>13</v>
      </c>
      <c r="B2" s="75" t="s">
        <v>98</v>
      </c>
      <c r="C2" s="75" t="s">
        <v>99</v>
      </c>
      <c r="D2" s="76" t="s">
        <v>20</v>
      </c>
      <c r="E2" s="75" t="s">
        <v>37</v>
      </c>
      <c r="F2" s="75" t="s">
        <v>100</v>
      </c>
      <c r="G2" s="75" t="s">
        <v>101</v>
      </c>
      <c r="H2" s="77" t="s">
        <v>102</v>
      </c>
      <c r="I2" s="75" t="s">
        <v>103</v>
      </c>
      <c r="J2" s="75" t="s">
        <v>103</v>
      </c>
      <c r="K2" s="78" t="s">
        <v>104</v>
      </c>
      <c r="L2" s="79"/>
    </row>
    <row r="3" customFormat="false" ht="13.5" hidden="false" customHeight="false" outlineLevel="0" collapsed="false">
      <c r="A3" s="80" t="n">
        <f aca="false">'Inputs-Summary'!B3</f>
        <v>37257</v>
      </c>
      <c r="B3" s="81" t="n">
        <f aca="false">'Inputs-Summary'!B4</f>
        <v>37287</v>
      </c>
      <c r="C3" s="82" t="n">
        <f aca="true">IF(WEEKDAY(TODAY())=2,TODAY()-3,TODAY()-1)+1</f>
        <v>45926</v>
      </c>
      <c r="D3" s="82" t="n">
        <f aca="false">'Inputs-Summary'!B5</f>
        <v>37061</v>
      </c>
      <c r="E3" s="83" t="str">
        <f aca="false">CONCATENATE(INT(Z8/12)," Y - ",Z8-INT(Z8/12)*12," M")</f>
        <v>0 Y - 1 M</v>
      </c>
      <c r="F3" s="84" t="n">
        <f aca="false">'Inputs-Summary'!B10</f>
        <v>2</v>
      </c>
      <c r="G3" s="84" t="n">
        <f aca="false">'Inputs-Summary'!B9</f>
        <v>2</v>
      </c>
      <c r="H3" s="85" t="n">
        <f aca="false">'Inputs-Summary'!B8</f>
        <v>1</v>
      </c>
      <c r="I3" s="84" t="str">
        <f aca="false">'Inputs-Summary'!B12</f>
        <v>IF-HEHUB</v>
      </c>
      <c r="J3" s="84" t="str">
        <f aca="false">I3</f>
        <v>IF-HEHUB</v>
      </c>
      <c r="K3" s="86" t="n">
        <v>0</v>
      </c>
      <c r="L3" s="87"/>
    </row>
    <row r="4" customFormat="false" ht="12.75" hidden="false" customHeight="false" outlineLevel="0" collapsed="false">
      <c r="A4" s="88"/>
      <c r="B4" s="88"/>
      <c r="C4" s="89"/>
      <c r="D4" s="89" t="s">
        <v>105</v>
      </c>
      <c r="E4" s="89" t="s">
        <v>106</v>
      </c>
      <c r="F4" s="89" t="s">
        <v>107</v>
      </c>
      <c r="G4" s="90" t="s">
        <v>108</v>
      </c>
      <c r="H4" s="91"/>
      <c r="I4" s="91"/>
      <c r="J4" s="90" t="str">
        <f aca="false">CONCATENATE(I3,"-","D")</f>
        <v>IF-HEHUB-D</v>
      </c>
      <c r="K4" s="91" t="str">
        <f aca="false">I3</f>
        <v>IF-HEHUB</v>
      </c>
      <c r="L4" s="91" t="str">
        <f aca="false">I3</f>
        <v>IF-HEHUB</v>
      </c>
      <c r="M4" s="90" t="str">
        <f aca="false">CONCATENATE(J3,"-","I")</f>
        <v>IF-HEHUB-I</v>
      </c>
      <c r="N4" s="91" t="str">
        <f aca="false">J3</f>
        <v>IF-HEHUB</v>
      </c>
      <c r="O4" s="91" t="str">
        <f aca="false">J3</f>
        <v>IF-HEHUB</v>
      </c>
      <c r="Q4" s="91" t="str">
        <f aca="false">K4</f>
        <v>IF-HEHUB</v>
      </c>
      <c r="R4" s="91" t="str">
        <f aca="false">J4</f>
        <v>IF-HEHUB-D</v>
      </c>
      <c r="S4" s="91" t="str">
        <f aca="false">K4</f>
        <v>IF-HEHUB</v>
      </c>
      <c r="U4" s="92"/>
      <c r="V4" s="92"/>
      <c r="W4" s="92" t="s">
        <v>109</v>
      </c>
      <c r="X4" s="90" t="s">
        <v>110</v>
      </c>
      <c r="Y4" s="92"/>
      <c r="Z4" s="92"/>
      <c r="AA4" s="92"/>
      <c r="AC4" s="93"/>
      <c r="AD4" s="94"/>
    </row>
    <row r="5" customFormat="false" ht="12.75" hidden="false" customHeight="false" outlineLevel="0" collapsed="false">
      <c r="A5" s="89" t="s">
        <v>64</v>
      </c>
      <c r="B5" s="89" t="str">
        <f aca="false">IF($H$3=1,"Daily","Monthly")</f>
        <v>Daily</v>
      </c>
      <c r="C5" s="89"/>
      <c r="D5" s="89" t="str">
        <f aca="false">IF($H$3=1,"Daily","Monthly")</f>
        <v>Daily</v>
      </c>
      <c r="E5" s="89" t="s">
        <v>68</v>
      </c>
      <c r="F5" s="89" t="s">
        <v>68</v>
      </c>
      <c r="G5" s="89" t="s">
        <v>61</v>
      </c>
      <c r="H5" s="89" t="s">
        <v>61</v>
      </c>
      <c r="I5" s="89" t="s">
        <v>61</v>
      </c>
      <c r="J5" s="89" t="s">
        <v>94</v>
      </c>
      <c r="K5" s="89" t="s">
        <v>94</v>
      </c>
      <c r="L5" s="89" t="s">
        <v>94</v>
      </c>
      <c r="M5" s="89" t="s">
        <v>95</v>
      </c>
      <c r="N5" s="89" t="s">
        <v>95</v>
      </c>
      <c r="O5" s="89" t="s">
        <v>95</v>
      </c>
      <c r="Q5" s="89" t="s">
        <v>111</v>
      </c>
      <c r="R5" s="89" t="s">
        <v>111</v>
      </c>
      <c r="S5" s="89" t="s">
        <v>111</v>
      </c>
      <c r="U5" s="95" t="s">
        <v>112</v>
      </c>
      <c r="V5" s="95" t="s">
        <v>51</v>
      </c>
      <c r="W5" s="95" t="s">
        <v>51</v>
      </c>
      <c r="X5" s="96" t="s">
        <v>113</v>
      </c>
      <c r="Y5" s="95" t="s">
        <v>51</v>
      </c>
      <c r="Z5" s="95" t="s">
        <v>114</v>
      </c>
      <c r="AA5" s="95" t="s">
        <v>114</v>
      </c>
      <c r="AC5" s="97" t="s">
        <v>105</v>
      </c>
      <c r="AD5" s="94"/>
    </row>
    <row r="6" customFormat="false" ht="12.75" hidden="false" customHeight="false" outlineLevel="0" collapsed="false">
      <c r="A6" s="98" t="s">
        <v>71</v>
      </c>
      <c r="B6" s="98" t="s">
        <v>115</v>
      </c>
      <c r="C6" s="98"/>
      <c r="D6" s="98" t="s">
        <v>115</v>
      </c>
      <c r="E6" s="98" t="s">
        <v>116</v>
      </c>
      <c r="F6" s="98" t="s">
        <v>116</v>
      </c>
      <c r="G6" s="98" t="s">
        <v>117</v>
      </c>
      <c r="H6" s="98" t="str">
        <f aca="false">CHOOSE(G3,"Bid","Offer")</f>
        <v>Offer</v>
      </c>
      <c r="I6" s="98" t="s">
        <v>118</v>
      </c>
      <c r="J6" s="98" t="s">
        <v>117</v>
      </c>
      <c r="K6" s="98" t="str">
        <f aca="false">H6</f>
        <v>Offer</v>
      </c>
      <c r="L6" s="98" t="s">
        <v>118</v>
      </c>
      <c r="M6" s="98" t="s">
        <v>117</v>
      </c>
      <c r="N6" s="98" t="str">
        <f aca="false">K6</f>
        <v>Offer</v>
      </c>
      <c r="O6" s="98" t="s">
        <v>118</v>
      </c>
      <c r="Q6" s="98" t="s">
        <v>117</v>
      </c>
      <c r="R6" s="98" t="str">
        <f aca="false">K6</f>
        <v>Offer</v>
      </c>
      <c r="S6" s="98" t="s">
        <v>118</v>
      </c>
      <c r="U6" s="99" t="s">
        <v>72</v>
      </c>
      <c r="V6" s="99" t="s">
        <v>12</v>
      </c>
      <c r="W6" s="99" t="s">
        <v>72</v>
      </c>
      <c r="X6" s="100" t="s">
        <v>119</v>
      </c>
      <c r="Y6" s="99" t="s">
        <v>52</v>
      </c>
      <c r="Z6" s="99" t="s">
        <v>120</v>
      </c>
      <c r="AA6" s="99" t="s">
        <v>72</v>
      </c>
      <c r="AC6" s="97" t="s">
        <v>121</v>
      </c>
      <c r="AD6" s="94"/>
    </row>
    <row r="7" customFormat="false" ht="13.5" hidden="false" customHeight="false" outlineLevel="0" collapsed="false">
      <c r="A7" s="101"/>
      <c r="B7" s="101"/>
      <c r="C7" s="101"/>
      <c r="D7" s="101"/>
      <c r="H7" s="102"/>
      <c r="K7" s="102"/>
      <c r="N7" s="102"/>
      <c r="W7" s="103"/>
      <c r="AC7" s="104"/>
    </row>
    <row r="8" customFormat="false" ht="13.5" hidden="false" customHeight="false" outlineLevel="0" collapsed="false">
      <c r="A8" s="105" t="s">
        <v>122</v>
      </c>
      <c r="B8" s="106"/>
      <c r="C8" s="106"/>
      <c r="D8" s="106" t="n">
        <f aca="false">SUM(D10:D370)</f>
        <v>1086176597.98663</v>
      </c>
      <c r="E8" s="106" t="n">
        <f aca="false">SUM(E10:E370)</f>
        <v>93531873.7155152</v>
      </c>
      <c r="F8" s="106" t="n">
        <f aca="false">SUM(F10:F370)</f>
        <v>1.82183665451959E+022</v>
      </c>
      <c r="G8" s="107" t="n">
        <f aca="false">SUMPRODUCT($F10:$F370,G10:G370)/SUM($F10:$F370)</f>
        <v>3</v>
      </c>
      <c r="H8" s="107" t="n">
        <f aca="false">SUMPRODUCT($F10:$F370,H10:H370)/SUM($F10:$F370)</f>
        <v>3</v>
      </c>
      <c r="I8" s="107" t="n">
        <f aca="false">SUMPRODUCT($F10:$F370,I10:I370)/SUM($F10:$F370)</f>
        <v>1.85</v>
      </c>
      <c r="J8" s="107" t="n">
        <f aca="false">SUMPRODUCT($F10:$F370,J10:J370)/SUM($F10:$F370)</f>
        <v>5</v>
      </c>
      <c r="K8" s="107" t="n">
        <f aca="false">SUMPRODUCT($F10:$F370,K10:K370)/SUM($F10:$F370)</f>
        <v>5</v>
      </c>
      <c r="L8" s="107" t="n">
        <f aca="false">SUMPRODUCT($F10:$F370,L10:L370)/SUM($F10:$F370)</f>
        <v>5</v>
      </c>
      <c r="M8" s="107" t="n">
        <f aca="false">SUMPRODUCT($F10:$F370,M10:M370)/SUM($F10:$F370)</f>
        <v>5</v>
      </c>
      <c r="N8" s="107" t="n">
        <f aca="false">SUMPRODUCT($F10:$F370,N10:N370)/SUM($F10:$F370)</f>
        <v>5</v>
      </c>
      <c r="O8" s="107" t="n">
        <f aca="false">SUMPRODUCT($F10:$F370,O10:O370)/SUM($F10:$F370)</f>
        <v>5</v>
      </c>
      <c r="P8" s="107"/>
      <c r="Q8" s="107" t="n">
        <f aca="false">SUMPRODUCT($F10:$F370,Q10:Q370)/SUM($F10:$F370)</f>
        <v>8</v>
      </c>
      <c r="R8" s="107" t="n">
        <f aca="false">SUMPRODUCT($F10:$F370,R10:R370)/SUM($F10:$F370)</f>
        <v>8</v>
      </c>
      <c r="S8" s="107" t="n">
        <f aca="false">SUMPRODUCT($F10:$F370,S10:S370)/SUM($F10:$F370)</f>
        <v>6.85</v>
      </c>
      <c r="X8" s="108"/>
      <c r="Z8" s="109" t="n">
        <f aca="false">SUM(Z10:Z370)</f>
        <v>1</v>
      </c>
      <c r="AA8" s="109" t="n">
        <f aca="false">SUM(AA10:AA370)</f>
        <v>31</v>
      </c>
      <c r="AC8" s="110" t="n">
        <f aca="false">SUM(AC10:AC370)</f>
        <v>2.09511215269753E+022</v>
      </c>
      <c r="AD8" s="111"/>
    </row>
    <row r="9" customFormat="false" ht="12.75" hidden="false" customHeight="false" outlineLevel="0" collapsed="false">
      <c r="B9" s="112"/>
      <c r="C9" s="112"/>
      <c r="D9" s="112"/>
      <c r="E9" s="112"/>
      <c r="F9" s="112"/>
      <c r="H9" s="113"/>
      <c r="I9" s="113"/>
      <c r="J9" s="113"/>
      <c r="K9" s="114"/>
      <c r="L9" s="114"/>
      <c r="M9" s="114"/>
      <c r="N9" s="114"/>
      <c r="O9" s="114"/>
      <c r="Q9" s="114"/>
      <c r="R9" s="114"/>
      <c r="S9" s="114"/>
      <c r="AC9" s="104"/>
    </row>
    <row r="10" customFormat="false" ht="12.75" hidden="false" customHeight="false" outlineLevel="0" collapsed="false">
      <c r="A10" s="115" t="n">
        <f aca="false">A3</f>
        <v>37257</v>
      </c>
      <c r="B10" s="116" t="n">
        <f aca="false">'Inputs-Summary'!$B$7</f>
        <v>3017157.21662952</v>
      </c>
      <c r="C10" s="57"/>
      <c r="D10" s="117" t="n">
        <f aca="false">B10+C10</f>
        <v>3017157.21662952</v>
      </c>
      <c r="E10" s="106" t="n">
        <f aca="false">IF(Z10=0,0,IF(AND(Z10=1,$H$3=1),D10*U10,IF($H$3=2,D10,"N/A")))</f>
        <v>93531873.7155152</v>
      </c>
      <c r="F10" s="106" t="n">
        <f aca="false">E10*Y10</f>
        <v>1.82183665451959E+022</v>
      </c>
      <c r="G10" s="118" t="n">
        <f aca="false">VLOOKUP($A10,Table,MATCH(G$4,Curves,0))</f>
        <v>3</v>
      </c>
      <c r="H10" s="119" t="n">
        <f aca="false">G10+$H$7</f>
        <v>3</v>
      </c>
      <c r="I10" s="118" t="n">
        <f aca="false">'Inputs-Summary'!$B$16</f>
        <v>1.85</v>
      </c>
      <c r="J10" s="118" t="n">
        <f aca="false">VLOOKUP($A10,Table,MATCH(J$4,Curves,0))</f>
        <v>5</v>
      </c>
      <c r="K10" s="119" t="n">
        <f aca="false">J10+$K$7</f>
        <v>5</v>
      </c>
      <c r="L10" s="120" t="n">
        <f aca="false">K10</f>
        <v>5</v>
      </c>
      <c r="M10" s="118" t="n">
        <f aca="false">VLOOKUP($A10,Table,MATCH(M$4,Curves,0))</f>
        <v>5</v>
      </c>
      <c r="N10" s="119" t="n">
        <f aca="false">M10+$N$7</f>
        <v>5</v>
      </c>
      <c r="O10" s="120" t="n">
        <f aca="false">N10</f>
        <v>5</v>
      </c>
      <c r="P10" s="109"/>
      <c r="Q10" s="120" t="n">
        <f aca="false">IF($F$3=1,M10+J10+G10,J10+G10)</f>
        <v>8</v>
      </c>
      <c r="R10" s="120" t="n">
        <f aca="false">IF($F$3=1,N10+K10+H10,K10+H10)</f>
        <v>8</v>
      </c>
      <c r="S10" s="120" t="n">
        <f aca="false">IF($F$3=1,O10+L10+I10,L10+I10)</f>
        <v>6.85</v>
      </c>
      <c r="T10" s="121"/>
      <c r="U10" s="67" t="n">
        <f aca="false">A11-A10</f>
        <v>31</v>
      </c>
      <c r="V10" s="122" t="n">
        <f aca="false">CHOOSE(F$3,A11+24,A10)</f>
        <v>37257</v>
      </c>
      <c r="W10" s="67" t="n">
        <f aca="false">V10-C$3</f>
        <v>-8669</v>
      </c>
      <c r="X10" s="118" t="n">
        <f aca="false">VLOOKUP($A10,Table,MATCH(X$4,Curves,0))</f>
        <v>2</v>
      </c>
      <c r="Y10" s="123" t="n">
        <f aca="false">1/(1+CHOOSE(F$3,(X11+($K$3/10000))/2,(X10+($K$3/10000))/2))^(2*W10/365.25)</f>
        <v>194782439627036</v>
      </c>
      <c r="Z10" s="67" t="n">
        <f aca="false">IF(AND(mthbeg&lt;=A10,mthend&gt;=A10),1,0)</f>
        <v>1</v>
      </c>
      <c r="AA10" s="67" t="n">
        <f aca="false">U10*Z10</f>
        <v>31</v>
      </c>
      <c r="AC10" s="110" t="n">
        <f aca="false">F10*(H10-I10)</f>
        <v>2.09511215269753E+022</v>
      </c>
      <c r="AD10" s="49"/>
      <c r="AE10" s="124"/>
    </row>
    <row r="11" customFormat="false" ht="12.75" hidden="false" customHeight="false" outlineLevel="0" collapsed="false">
      <c r="A11" s="115" t="n">
        <f aca="false">EDATE(A10,1)</f>
        <v>37288</v>
      </c>
      <c r="B11" s="116" t="n">
        <f aca="false">'Inputs-Summary'!$B$7</f>
        <v>3017157.21662952</v>
      </c>
      <c r="C11" s="57"/>
      <c r="D11" s="117" t="n">
        <f aca="false">B11+C11</f>
        <v>3017157.21662952</v>
      </c>
      <c r="E11" s="106" t="n">
        <f aca="false">IF(Z11=0,0,IF(AND(Z11=1,$H$3=1),D11*U11,IF($H$3=2,D11,"N/A")))</f>
        <v>0</v>
      </c>
      <c r="F11" s="106" t="n">
        <f aca="false">E11*Y11</f>
        <v>0</v>
      </c>
      <c r="G11" s="118" t="n">
        <f aca="false">VLOOKUP($A11,Table,MATCH(G$4,Curves,0))</f>
        <v>3</v>
      </c>
      <c r="H11" s="119" t="n">
        <f aca="false">G11+$H$7</f>
        <v>3</v>
      </c>
      <c r="I11" s="118" t="n">
        <f aca="false">'Inputs-Summary'!$B$16</f>
        <v>1.85</v>
      </c>
      <c r="J11" s="118" t="n">
        <f aca="false">VLOOKUP($A11,Table,MATCH(J$4,Curves,0))</f>
        <v>5</v>
      </c>
      <c r="K11" s="119" t="n">
        <f aca="false">J11+$K$7</f>
        <v>5</v>
      </c>
      <c r="L11" s="120" t="n">
        <f aca="false">K11</f>
        <v>5</v>
      </c>
      <c r="M11" s="118" t="n">
        <f aca="false">VLOOKUP($A11,Table,MATCH(M$4,Curves,0))</f>
        <v>5</v>
      </c>
      <c r="N11" s="119" t="n">
        <f aca="false">M11+$N$7</f>
        <v>5</v>
      </c>
      <c r="O11" s="120" t="n">
        <f aca="false">N11</f>
        <v>5</v>
      </c>
      <c r="P11" s="109"/>
      <c r="Q11" s="120" t="n">
        <f aca="false">IF($F$3=1,M11+J11+G11,J11+G11)</f>
        <v>8</v>
      </c>
      <c r="R11" s="120" t="n">
        <f aca="false">IF($F$3=1,N11+K11+H11,K11+H11)</f>
        <v>8</v>
      </c>
      <c r="S11" s="120" t="n">
        <f aca="false">IF($F$3=1,O11+L11+I11,L11+I11)</f>
        <v>6.85</v>
      </c>
      <c r="T11" s="121"/>
      <c r="U11" s="67" t="n">
        <f aca="false">A12-A11</f>
        <v>28</v>
      </c>
      <c r="V11" s="122" t="n">
        <f aca="false">CHOOSE(F$3,A12+24,A11)</f>
        <v>37288</v>
      </c>
      <c r="W11" s="67" t="n">
        <f aca="false">V11-C$3</f>
        <v>-8638</v>
      </c>
      <c r="X11" s="118" t="n">
        <f aca="false">VLOOKUP($A11,Table,MATCH(X$4,Curves,0))</f>
        <v>2</v>
      </c>
      <c r="Y11" s="123" t="n">
        <f aca="false">1/(1+CHOOSE(F$3,(X12+($K$3/10000))/2,(X11+($K$3/10000))/2))^(2*W11/365.25)</f>
        <v>173161340017364</v>
      </c>
      <c r="Z11" s="67" t="n">
        <f aca="false">IF(AND(mthbeg&lt;=A11,mthend&gt;=A11),1,0)</f>
        <v>0</v>
      </c>
      <c r="AA11" s="67" t="n">
        <f aca="false">U11*Z11</f>
        <v>0</v>
      </c>
      <c r="AC11" s="110" t="n">
        <f aca="false">F11*(H11-I11)</f>
        <v>0</v>
      </c>
      <c r="AD11" s="49"/>
      <c r="AE11" s="124"/>
    </row>
    <row r="12" customFormat="false" ht="12.75" hidden="false" customHeight="false" outlineLevel="0" collapsed="false">
      <c r="A12" s="115" t="n">
        <f aca="false">EDATE(A11,1)</f>
        <v>37316</v>
      </c>
      <c r="B12" s="116" t="n">
        <f aca="false">'Inputs-Summary'!$B$7</f>
        <v>3017157.21662952</v>
      </c>
      <c r="C12" s="57"/>
      <c r="D12" s="117" t="n">
        <f aca="false">B12+C12</f>
        <v>3017157.21662952</v>
      </c>
      <c r="E12" s="106" t="n">
        <f aca="false">IF(Z12=0,0,IF(AND(Z12=1,$H$3=1),D12*U12,IF($H$3=2,D12,"N/A")))</f>
        <v>0</v>
      </c>
      <c r="F12" s="106" t="n">
        <f aca="false">E12*Y12</f>
        <v>0</v>
      </c>
      <c r="G12" s="118" t="n">
        <f aca="false">VLOOKUP($A12,Table,MATCH(G$4,Curves,0))</f>
        <v>3</v>
      </c>
      <c r="H12" s="119" t="n">
        <f aca="false">G12+$H$7</f>
        <v>3</v>
      </c>
      <c r="I12" s="118" t="n">
        <f aca="false">'Inputs-Summary'!$B$16</f>
        <v>1.85</v>
      </c>
      <c r="J12" s="118" t="n">
        <f aca="false">VLOOKUP($A12,Table,MATCH(J$4,Curves,0))</f>
        <v>5</v>
      </c>
      <c r="K12" s="119" t="n">
        <f aca="false">J12+$K$7</f>
        <v>5</v>
      </c>
      <c r="L12" s="120" t="n">
        <f aca="false">K12</f>
        <v>5</v>
      </c>
      <c r="M12" s="118" t="n">
        <f aca="false">VLOOKUP($A12,Table,MATCH(M$4,Curves,0))</f>
        <v>5</v>
      </c>
      <c r="N12" s="119" t="n">
        <f aca="false">M12+$N$7</f>
        <v>5</v>
      </c>
      <c r="O12" s="120" t="n">
        <f aca="false">N12</f>
        <v>5</v>
      </c>
      <c r="P12" s="109"/>
      <c r="Q12" s="120" t="n">
        <f aca="false">IF($F$3=1,M12+J12+G12,J12+G12)</f>
        <v>8</v>
      </c>
      <c r="R12" s="120" t="n">
        <f aca="false">IF($F$3=1,N12+K12+H12,K12+H12)</f>
        <v>8</v>
      </c>
      <c r="S12" s="120" t="n">
        <f aca="false">IF($F$3=1,O12+L12+I12,L12+I12)</f>
        <v>6.85</v>
      </c>
      <c r="T12" s="121"/>
      <c r="U12" s="67" t="n">
        <f aca="false">A13-A12</f>
        <v>31</v>
      </c>
      <c r="V12" s="122" t="n">
        <f aca="false">CHOOSE(F$3,A13+24,A12)</f>
        <v>37316</v>
      </c>
      <c r="W12" s="67" t="n">
        <f aca="false">V12-C$3</f>
        <v>-8610</v>
      </c>
      <c r="X12" s="118" t="n">
        <f aca="false">VLOOKUP($A12,Table,MATCH(X$4,Curves,0))</f>
        <v>2</v>
      </c>
      <c r="Y12" s="123" t="n">
        <f aca="false">1/(1+CHOOSE(F$3,(X13+($K$3/10000))/2,(X12+($K$3/10000))/2))^(2*W12/365.25)</f>
        <v>155703052262763</v>
      </c>
      <c r="Z12" s="67" t="n">
        <f aca="false">IF(AND(mthbeg&lt;=A12,mthend&gt;=A12),1,0)</f>
        <v>0</v>
      </c>
      <c r="AA12" s="67" t="n">
        <f aca="false">U12*Z12</f>
        <v>0</v>
      </c>
      <c r="AC12" s="110" t="n">
        <f aca="false">F12*(H12-I12)</f>
        <v>0</v>
      </c>
      <c r="AD12" s="49"/>
      <c r="AE12" s="124"/>
    </row>
    <row r="13" customFormat="false" ht="12.75" hidden="false" customHeight="false" outlineLevel="0" collapsed="false">
      <c r="A13" s="115" t="n">
        <f aca="false">EDATE(A12,1)</f>
        <v>37347</v>
      </c>
      <c r="B13" s="116" t="n">
        <f aca="false">'Inputs-Summary'!$B$7</f>
        <v>3017157.21662952</v>
      </c>
      <c r="C13" s="57"/>
      <c r="D13" s="117" t="n">
        <f aca="false">B13+C13</f>
        <v>3017157.21662952</v>
      </c>
      <c r="E13" s="106" t="n">
        <f aca="false">IF(Z13=0,0,IF(AND(Z13=1,$H$3=1),D13*U13,IF($H$3=2,D13,"N/A")))</f>
        <v>0</v>
      </c>
      <c r="F13" s="106" t="n">
        <f aca="false">E13*Y13</f>
        <v>0</v>
      </c>
      <c r="G13" s="118" t="n">
        <f aca="false">VLOOKUP($A13,Table,MATCH(G$4,Curves,0))</f>
        <v>3</v>
      </c>
      <c r="H13" s="119" t="n">
        <f aca="false">G13+$H$7</f>
        <v>3</v>
      </c>
      <c r="I13" s="118" t="n">
        <f aca="false">'Inputs-Summary'!$B$16</f>
        <v>1.85</v>
      </c>
      <c r="J13" s="118" t="n">
        <f aca="false">VLOOKUP($A13,Table,MATCH(J$4,Curves,0))</f>
        <v>5</v>
      </c>
      <c r="K13" s="119" t="n">
        <f aca="false">J13+$K$7</f>
        <v>5</v>
      </c>
      <c r="L13" s="120" t="n">
        <f aca="false">K13</f>
        <v>5</v>
      </c>
      <c r="M13" s="118" t="n">
        <f aca="false">VLOOKUP($A13,Table,MATCH(M$4,Curves,0))</f>
        <v>5</v>
      </c>
      <c r="N13" s="119" t="n">
        <f aca="false">M13+$N$7</f>
        <v>5</v>
      </c>
      <c r="O13" s="120" t="n">
        <f aca="false">N13</f>
        <v>5</v>
      </c>
      <c r="P13" s="109"/>
      <c r="Q13" s="120" t="n">
        <f aca="false">IF($F$3=1,M13+J13+G13,J13+G13)</f>
        <v>8</v>
      </c>
      <c r="R13" s="120" t="n">
        <f aca="false">IF($F$3=1,N13+K13+H13,K13+H13)</f>
        <v>8</v>
      </c>
      <c r="S13" s="120" t="n">
        <f aca="false">IF($F$3=1,O13+L13+I13,L13+I13)</f>
        <v>6.85</v>
      </c>
      <c r="T13" s="121"/>
      <c r="U13" s="67" t="n">
        <f aca="false">A14-A13</f>
        <v>30</v>
      </c>
      <c r="V13" s="122" t="n">
        <f aca="false">CHOOSE(F$3,A14+24,A13)</f>
        <v>37347</v>
      </c>
      <c r="W13" s="67" t="n">
        <f aca="false">V13-C$3</f>
        <v>-8579</v>
      </c>
      <c r="X13" s="118" t="n">
        <f aca="false">VLOOKUP($A13,Table,MATCH(X$4,Curves,0))</f>
        <v>2</v>
      </c>
      <c r="Y13" s="123" t="n">
        <f aca="false">1/(1+CHOOSE(F$3,(X14+($K$3/10000))/2,(X13+($K$3/10000))/2))^(2*W13/365.25)</f>
        <v>138419814569728</v>
      </c>
      <c r="Z13" s="67" t="n">
        <f aca="false">IF(AND(mthbeg&lt;=A13,mthend&gt;=A13),1,0)</f>
        <v>0</v>
      </c>
      <c r="AA13" s="67" t="n">
        <f aca="false">U13*Z13</f>
        <v>0</v>
      </c>
      <c r="AC13" s="110" t="n">
        <f aca="false">F13*(H13-I13)</f>
        <v>0</v>
      </c>
      <c r="AD13" s="49"/>
      <c r="AE13" s="124"/>
    </row>
    <row r="14" customFormat="false" ht="12.75" hidden="false" customHeight="false" outlineLevel="0" collapsed="false">
      <c r="A14" s="115" t="n">
        <f aca="false">EDATE(A13,1)</f>
        <v>37377</v>
      </c>
      <c r="B14" s="116" t="n">
        <f aca="false">'Inputs-Summary'!$B$7</f>
        <v>3017157.21662952</v>
      </c>
      <c r="C14" s="57"/>
      <c r="D14" s="117" t="n">
        <f aca="false">B14+C14</f>
        <v>3017157.21662952</v>
      </c>
      <c r="E14" s="106" t="n">
        <f aca="false">IF(Z14=0,0,IF(AND(Z14=1,$H$3=1),D14*U14,IF($H$3=2,D14,"N/A")))</f>
        <v>0</v>
      </c>
      <c r="F14" s="106" t="n">
        <f aca="false">E14*Y14</f>
        <v>0</v>
      </c>
      <c r="G14" s="118" t="n">
        <f aca="false">VLOOKUP($A14,Table,MATCH(G$4,Curves,0))</f>
        <v>3</v>
      </c>
      <c r="H14" s="119" t="n">
        <f aca="false">G14+$H$7</f>
        <v>3</v>
      </c>
      <c r="I14" s="118" t="n">
        <f aca="false">'Inputs-Summary'!$B$16</f>
        <v>1.85</v>
      </c>
      <c r="J14" s="118" t="n">
        <f aca="false">VLOOKUP($A14,Table,MATCH(J$4,Curves,0))</f>
        <v>5</v>
      </c>
      <c r="K14" s="119" t="n">
        <f aca="false">J14+$K$7</f>
        <v>5</v>
      </c>
      <c r="L14" s="120" t="n">
        <f aca="false">K14</f>
        <v>5</v>
      </c>
      <c r="M14" s="118" t="n">
        <f aca="false">VLOOKUP($A14,Table,MATCH(M$4,Curves,0))</f>
        <v>5</v>
      </c>
      <c r="N14" s="119" t="n">
        <f aca="false">M14+$N$7</f>
        <v>5</v>
      </c>
      <c r="O14" s="120" t="n">
        <f aca="false">N14</f>
        <v>5</v>
      </c>
      <c r="P14" s="109"/>
      <c r="Q14" s="120" t="n">
        <f aca="false">IF($F$3=1,M14+J14+G14,J14+G14)</f>
        <v>8</v>
      </c>
      <c r="R14" s="120" t="n">
        <f aca="false">IF($F$3=1,N14+K14+H14,K14+H14)</f>
        <v>8</v>
      </c>
      <c r="S14" s="120" t="n">
        <f aca="false">IF($F$3=1,O14+L14+I14,L14+I14)</f>
        <v>6.85</v>
      </c>
      <c r="T14" s="121"/>
      <c r="U14" s="67" t="n">
        <f aca="false">A15-A14</f>
        <v>31</v>
      </c>
      <c r="V14" s="122" t="n">
        <f aca="false">CHOOSE(F$3,A15+24,A14)</f>
        <v>37377</v>
      </c>
      <c r="W14" s="67" t="n">
        <f aca="false">V14-C$3</f>
        <v>-8549</v>
      </c>
      <c r="X14" s="118" t="n">
        <f aca="false">VLOOKUP($A14,Table,MATCH(X$4,Curves,0))</f>
        <v>2</v>
      </c>
      <c r="Y14" s="123" t="n">
        <f aca="false">1/(1+CHOOSE(F$3,(X15+($K$3/10000))/2,(X14+($K$3/10000))/2))^(2*W14/365.25)</f>
        <v>123522977149772</v>
      </c>
      <c r="Z14" s="67" t="n">
        <f aca="false">IF(AND(mthbeg&lt;=A14,mthend&gt;=A14),1,0)</f>
        <v>0</v>
      </c>
      <c r="AA14" s="67" t="n">
        <f aca="false">U14*Z14</f>
        <v>0</v>
      </c>
      <c r="AC14" s="110" t="n">
        <f aca="false">F14*(H14-I14)</f>
        <v>0</v>
      </c>
      <c r="AD14" s="49"/>
      <c r="AE14" s="124"/>
    </row>
    <row r="15" customFormat="false" ht="12.75" hidden="false" customHeight="false" outlineLevel="0" collapsed="false">
      <c r="A15" s="115" t="n">
        <f aca="false">EDATE(A14,1)</f>
        <v>37408</v>
      </c>
      <c r="B15" s="116" t="n">
        <f aca="false">'Inputs-Summary'!$B$7</f>
        <v>3017157.21662952</v>
      </c>
      <c r="C15" s="57"/>
      <c r="D15" s="117" t="n">
        <f aca="false">B15+C15</f>
        <v>3017157.21662952</v>
      </c>
      <c r="E15" s="106" t="n">
        <f aca="false">IF(Z15=0,0,IF(AND(Z15=1,$H$3=1),D15*U15,IF($H$3=2,D15,"N/A")))</f>
        <v>0</v>
      </c>
      <c r="F15" s="106" t="n">
        <f aca="false">E15*Y15</f>
        <v>0</v>
      </c>
      <c r="G15" s="118" t="n">
        <f aca="false">VLOOKUP($A15,Table,MATCH(G$4,Curves,0))</f>
        <v>3</v>
      </c>
      <c r="H15" s="119" t="n">
        <f aca="false">G15+$H$7</f>
        <v>3</v>
      </c>
      <c r="I15" s="118" t="n">
        <f aca="false">'Inputs-Summary'!$B$16</f>
        <v>1.85</v>
      </c>
      <c r="J15" s="118" t="n">
        <f aca="false">VLOOKUP($A15,Table,MATCH(J$4,Curves,0))</f>
        <v>5</v>
      </c>
      <c r="K15" s="119" t="n">
        <f aca="false">J15+$K$7</f>
        <v>5</v>
      </c>
      <c r="L15" s="120" t="n">
        <f aca="false">K15</f>
        <v>5</v>
      </c>
      <c r="M15" s="118" t="n">
        <f aca="false">VLOOKUP($A15,Table,MATCH(M$4,Curves,0))</f>
        <v>5</v>
      </c>
      <c r="N15" s="119" t="n">
        <f aca="false">M15+$N$7</f>
        <v>5</v>
      </c>
      <c r="O15" s="120" t="n">
        <f aca="false">N15</f>
        <v>5</v>
      </c>
      <c r="P15" s="109"/>
      <c r="Q15" s="120" t="n">
        <f aca="false">IF($F$3=1,M15+J15+G15,J15+G15)</f>
        <v>8</v>
      </c>
      <c r="R15" s="120" t="n">
        <f aca="false">IF($F$3=1,N15+K15+H15,K15+H15)</f>
        <v>8</v>
      </c>
      <c r="S15" s="120" t="n">
        <f aca="false">IF($F$3=1,O15+L15+I15,L15+I15)</f>
        <v>6.85</v>
      </c>
      <c r="T15" s="121"/>
      <c r="U15" s="67" t="n">
        <f aca="false">A16-A15</f>
        <v>30</v>
      </c>
      <c r="V15" s="122" t="n">
        <f aca="false">CHOOSE(F$3,A16+24,A15)</f>
        <v>37408</v>
      </c>
      <c r="W15" s="67" t="n">
        <f aca="false">V15-C$3</f>
        <v>-8518</v>
      </c>
      <c r="X15" s="118" t="n">
        <f aca="false">VLOOKUP($A15,Table,MATCH(X$4,Curves,0))</f>
        <v>2</v>
      </c>
      <c r="Y15" s="123" t="n">
        <f aca="false">1/(1+CHOOSE(F$3,(X16+($K$3/10000))/2,(X15+($K$3/10000))/2))^(2*W15/365.25)</f>
        <v>109811768900444</v>
      </c>
      <c r="Z15" s="67" t="n">
        <f aca="false">IF(AND(mthbeg&lt;=A15,mthend&gt;=A15),1,0)</f>
        <v>0</v>
      </c>
      <c r="AA15" s="67" t="n">
        <f aca="false">U15*Z15</f>
        <v>0</v>
      </c>
      <c r="AC15" s="110" t="n">
        <f aca="false">F15*(H15-I15)</f>
        <v>0</v>
      </c>
      <c r="AD15" s="49"/>
      <c r="AE15" s="124"/>
    </row>
    <row r="16" customFormat="false" ht="12.75" hidden="false" customHeight="false" outlineLevel="0" collapsed="false">
      <c r="A16" s="115" t="n">
        <f aca="false">EDATE(A15,1)</f>
        <v>37438</v>
      </c>
      <c r="B16" s="116" t="n">
        <f aca="false">'Inputs-Summary'!$B$7</f>
        <v>3017157.21662952</v>
      </c>
      <c r="C16" s="57"/>
      <c r="D16" s="117" t="n">
        <f aca="false">B16+C16</f>
        <v>3017157.21662952</v>
      </c>
      <c r="E16" s="106" t="n">
        <f aca="false">IF(Z16=0,0,IF(AND(Z16=1,$H$3=1),D16*U16,IF($H$3=2,D16,"N/A")))</f>
        <v>0</v>
      </c>
      <c r="F16" s="106" t="n">
        <f aca="false">E16*Y16</f>
        <v>0</v>
      </c>
      <c r="G16" s="118" t="n">
        <f aca="false">VLOOKUP($A16,Table,MATCH(G$4,Curves,0))</f>
        <v>3</v>
      </c>
      <c r="H16" s="119" t="n">
        <f aca="false">G16+$H$7</f>
        <v>3</v>
      </c>
      <c r="I16" s="118" t="n">
        <f aca="false">'Inputs-Summary'!$B$16</f>
        <v>1.85</v>
      </c>
      <c r="J16" s="118" t="n">
        <f aca="false">VLOOKUP($A16,Table,MATCH(J$4,Curves,0))</f>
        <v>5</v>
      </c>
      <c r="K16" s="119" t="n">
        <f aca="false">J16+$K$7</f>
        <v>5</v>
      </c>
      <c r="L16" s="120" t="n">
        <f aca="false">K16</f>
        <v>5</v>
      </c>
      <c r="M16" s="118" t="n">
        <f aca="false">VLOOKUP($A16,Table,MATCH(M$4,Curves,0))</f>
        <v>5</v>
      </c>
      <c r="N16" s="119" t="n">
        <f aca="false">M16+$N$7</f>
        <v>5</v>
      </c>
      <c r="O16" s="120" t="n">
        <f aca="false">N16</f>
        <v>5</v>
      </c>
      <c r="P16" s="109"/>
      <c r="Q16" s="120" t="n">
        <f aca="false">IF($F$3=1,M16+J16+G16,J16+G16)</f>
        <v>8</v>
      </c>
      <c r="R16" s="120" t="n">
        <f aca="false">IF($F$3=1,N16+K16+H16,K16+H16)</f>
        <v>8</v>
      </c>
      <c r="S16" s="120" t="n">
        <f aca="false">IF($F$3=1,O16+L16+I16,L16+I16)</f>
        <v>6.85</v>
      </c>
      <c r="T16" s="121"/>
      <c r="U16" s="67" t="n">
        <f aca="false">A17-A16</f>
        <v>31</v>
      </c>
      <c r="V16" s="122" t="n">
        <f aca="false">CHOOSE(F$3,A17+24,A16)</f>
        <v>37438</v>
      </c>
      <c r="W16" s="67" t="n">
        <f aca="false">V16-C$3</f>
        <v>-8488</v>
      </c>
      <c r="X16" s="118" t="n">
        <f aca="false">VLOOKUP($A16,Table,MATCH(X$4,Curves,0))</f>
        <v>2</v>
      </c>
      <c r="Y16" s="123" t="n">
        <f aca="false">1/(1+CHOOSE(F$3,(X17+($K$3/10000))/2,(X16+($K$3/10000))/2))^(2*W16/365.25)</f>
        <v>97993749398014</v>
      </c>
      <c r="Z16" s="67" t="n">
        <f aca="false">IF(AND(mthbeg&lt;=A16,mthend&gt;=A16),1,0)</f>
        <v>0</v>
      </c>
      <c r="AA16" s="67" t="n">
        <f aca="false">U16*Z16</f>
        <v>0</v>
      </c>
      <c r="AC16" s="110" t="n">
        <f aca="false">F16*(H16-I16)</f>
        <v>0</v>
      </c>
      <c r="AD16" s="49"/>
      <c r="AE16" s="124"/>
    </row>
    <row r="17" customFormat="false" ht="12.75" hidden="false" customHeight="false" outlineLevel="0" collapsed="false">
      <c r="A17" s="115" t="n">
        <f aca="false">EDATE(A16,1)</f>
        <v>37469</v>
      </c>
      <c r="B17" s="116" t="n">
        <f aca="false">'Inputs-Summary'!$B$7</f>
        <v>3017157.21662952</v>
      </c>
      <c r="C17" s="57"/>
      <c r="D17" s="117" t="n">
        <f aca="false">B17+C17</f>
        <v>3017157.21662952</v>
      </c>
      <c r="E17" s="106" t="n">
        <f aca="false">IF(Z17=0,0,IF(AND(Z17=1,$H$3=1),D17*U17,IF($H$3=2,D17,"N/A")))</f>
        <v>0</v>
      </c>
      <c r="F17" s="106" t="n">
        <f aca="false">E17*Y17</f>
        <v>0</v>
      </c>
      <c r="G17" s="118" t="n">
        <f aca="false">VLOOKUP($A17,Table,MATCH(G$4,Curves,0))</f>
        <v>3</v>
      </c>
      <c r="H17" s="119" t="n">
        <f aca="false">G17+$H$7</f>
        <v>3</v>
      </c>
      <c r="I17" s="118" t="n">
        <f aca="false">'Inputs-Summary'!$B$16</f>
        <v>1.85</v>
      </c>
      <c r="J17" s="118" t="n">
        <f aca="false">VLOOKUP($A17,Table,MATCH(J$4,Curves,0))</f>
        <v>5</v>
      </c>
      <c r="K17" s="119" t="n">
        <f aca="false">J17+$K$7</f>
        <v>5</v>
      </c>
      <c r="L17" s="120" t="n">
        <f aca="false">K17</f>
        <v>5</v>
      </c>
      <c r="M17" s="118" t="n">
        <f aca="false">VLOOKUP($A17,Table,MATCH(M$4,Curves,0))</f>
        <v>5</v>
      </c>
      <c r="N17" s="119" t="n">
        <f aca="false">M17+$N$7</f>
        <v>5</v>
      </c>
      <c r="O17" s="120" t="n">
        <f aca="false">N17</f>
        <v>5</v>
      </c>
      <c r="P17" s="109"/>
      <c r="Q17" s="120" t="n">
        <f aca="false">IF($F$3=1,M17+J17+G17,J17+G17)</f>
        <v>8</v>
      </c>
      <c r="R17" s="120" t="n">
        <f aca="false">IF($F$3=1,N17+K17+H17,K17+H17)</f>
        <v>8</v>
      </c>
      <c r="S17" s="120" t="n">
        <f aca="false">IF($F$3=1,O17+L17+I17,L17+I17)</f>
        <v>6.85</v>
      </c>
      <c r="T17" s="121"/>
      <c r="U17" s="67" t="n">
        <f aca="false">A18-A17</f>
        <v>31</v>
      </c>
      <c r="V17" s="122" t="n">
        <f aca="false">CHOOSE(F$3,A18+24,A17)</f>
        <v>37469</v>
      </c>
      <c r="W17" s="67" t="n">
        <f aca="false">V17-C$3</f>
        <v>-8457</v>
      </c>
      <c r="X17" s="118" t="n">
        <f aca="false">VLOOKUP($A17,Table,MATCH(X$4,Curves,0))</f>
        <v>2</v>
      </c>
      <c r="Y17" s="123" t="n">
        <f aca="false">1/(1+CHOOSE(F$3,(X18+($K$3/10000))/2,(X17+($K$3/10000))/2))^(2*W17/365.25)</f>
        <v>87116318039639.8</v>
      </c>
      <c r="Z17" s="67" t="n">
        <f aca="false">IF(AND(mthbeg&lt;=A17,mthend&gt;=A17),1,0)</f>
        <v>0</v>
      </c>
      <c r="AA17" s="67" t="n">
        <f aca="false">U17*Z17</f>
        <v>0</v>
      </c>
      <c r="AC17" s="110" t="n">
        <f aca="false">F17*(H17-I17)</f>
        <v>0</v>
      </c>
      <c r="AD17" s="49"/>
      <c r="AE17" s="124"/>
    </row>
    <row r="18" customFormat="false" ht="12.75" hidden="false" customHeight="false" outlineLevel="0" collapsed="false">
      <c r="A18" s="115" t="n">
        <f aca="false">EDATE(A17,1)</f>
        <v>37500</v>
      </c>
      <c r="B18" s="116" t="n">
        <f aca="false">'Inputs-Summary'!$B$7</f>
        <v>3017157.21662952</v>
      </c>
      <c r="C18" s="57"/>
      <c r="D18" s="117" t="n">
        <f aca="false">B18+C18</f>
        <v>3017157.21662952</v>
      </c>
      <c r="E18" s="106" t="n">
        <f aca="false">IF(Z18=0,0,IF(AND(Z18=1,$H$3=1),D18*U18,IF($H$3=2,D18,"N/A")))</f>
        <v>0</v>
      </c>
      <c r="F18" s="106" t="n">
        <f aca="false">E18*Y18</f>
        <v>0</v>
      </c>
      <c r="G18" s="118" t="n">
        <f aca="false">VLOOKUP($A18,Table,MATCH(G$4,Curves,0))</f>
        <v>3</v>
      </c>
      <c r="H18" s="119" t="n">
        <f aca="false">G18+$H$7</f>
        <v>3</v>
      </c>
      <c r="I18" s="118" t="n">
        <f aca="false">'Inputs-Summary'!$B$16</f>
        <v>1.85</v>
      </c>
      <c r="J18" s="118" t="n">
        <f aca="false">VLOOKUP($A18,Table,MATCH(J$4,Curves,0))</f>
        <v>5</v>
      </c>
      <c r="K18" s="119" t="n">
        <f aca="false">J18+$K$7</f>
        <v>5</v>
      </c>
      <c r="L18" s="120" t="n">
        <f aca="false">K18</f>
        <v>5</v>
      </c>
      <c r="M18" s="118" t="n">
        <f aca="false">VLOOKUP($A18,Table,MATCH(M$4,Curves,0))</f>
        <v>5</v>
      </c>
      <c r="N18" s="119" t="n">
        <f aca="false">M18+$N$7</f>
        <v>5</v>
      </c>
      <c r="O18" s="120" t="n">
        <f aca="false">N18</f>
        <v>5</v>
      </c>
      <c r="P18" s="109"/>
      <c r="Q18" s="120" t="n">
        <f aca="false">IF($F$3=1,M18+J18+G18,J18+G18)</f>
        <v>8</v>
      </c>
      <c r="R18" s="120" t="n">
        <f aca="false">IF($F$3=1,N18+K18+H18,K18+H18)</f>
        <v>8</v>
      </c>
      <c r="S18" s="120" t="n">
        <f aca="false">IF($F$3=1,O18+L18+I18,L18+I18)</f>
        <v>6.85</v>
      </c>
      <c r="T18" s="121"/>
      <c r="U18" s="67" t="n">
        <f aca="false">A19-A18</f>
        <v>30</v>
      </c>
      <c r="V18" s="122" t="n">
        <f aca="false">CHOOSE(F$3,A19+24,A18)</f>
        <v>37500</v>
      </c>
      <c r="W18" s="67" t="n">
        <f aca="false">V18-C$3</f>
        <v>-8426</v>
      </c>
      <c r="X18" s="118" t="n">
        <f aca="false">VLOOKUP($A18,Table,MATCH(X$4,Curves,0))</f>
        <v>2</v>
      </c>
      <c r="Y18" s="123" t="n">
        <f aca="false">1/(1+CHOOSE(F$3,(X19+($K$3/10000))/2,(X18+($K$3/10000))/2))^(2*W18/365.25)</f>
        <v>77446295456651.7</v>
      </c>
      <c r="Z18" s="67" t="n">
        <f aca="false">IF(AND(mthbeg&lt;=A18,mthend&gt;=A18),1,0)</f>
        <v>0</v>
      </c>
      <c r="AA18" s="67" t="n">
        <f aca="false">U18*Z18</f>
        <v>0</v>
      </c>
      <c r="AC18" s="110" t="n">
        <f aca="false">F18*(H18-I18)</f>
        <v>0</v>
      </c>
      <c r="AD18" s="49"/>
      <c r="AE18" s="124"/>
    </row>
    <row r="19" customFormat="false" ht="12.75" hidden="false" customHeight="false" outlineLevel="0" collapsed="false">
      <c r="A19" s="115" t="n">
        <f aca="false">EDATE(A18,1)</f>
        <v>37530</v>
      </c>
      <c r="B19" s="116" t="n">
        <f aca="false">'Inputs-Summary'!$B$7</f>
        <v>3017157.21662952</v>
      </c>
      <c r="C19" s="57"/>
      <c r="D19" s="117" t="n">
        <f aca="false">B19+C19</f>
        <v>3017157.21662952</v>
      </c>
      <c r="E19" s="106" t="n">
        <f aca="false">IF(Z19=0,0,IF(AND(Z19=1,$H$3=1),D19*U19,IF($H$3=2,D19,"N/A")))</f>
        <v>0</v>
      </c>
      <c r="F19" s="106" t="n">
        <f aca="false">E19*Y19</f>
        <v>0</v>
      </c>
      <c r="G19" s="118" t="n">
        <f aca="false">VLOOKUP($A19,Table,MATCH(G$4,Curves,0))</f>
        <v>3</v>
      </c>
      <c r="H19" s="119" t="n">
        <f aca="false">G19+$H$7</f>
        <v>3</v>
      </c>
      <c r="I19" s="118" t="n">
        <f aca="false">'Inputs-Summary'!$B$16</f>
        <v>1.85</v>
      </c>
      <c r="J19" s="118" t="n">
        <f aca="false">VLOOKUP($A19,Table,MATCH(J$4,Curves,0))</f>
        <v>5</v>
      </c>
      <c r="K19" s="119" t="n">
        <f aca="false">J19+$K$7</f>
        <v>5</v>
      </c>
      <c r="L19" s="120" t="n">
        <f aca="false">K19</f>
        <v>5</v>
      </c>
      <c r="M19" s="118" t="n">
        <f aca="false">VLOOKUP($A19,Table,MATCH(M$4,Curves,0))</f>
        <v>5</v>
      </c>
      <c r="N19" s="119" t="n">
        <f aca="false">M19+$N$7</f>
        <v>5</v>
      </c>
      <c r="O19" s="120" t="n">
        <f aca="false">N19</f>
        <v>5</v>
      </c>
      <c r="P19" s="109"/>
      <c r="Q19" s="120" t="n">
        <f aca="false">IF($F$3=1,M19+J19+G19,J19+G19)</f>
        <v>8</v>
      </c>
      <c r="R19" s="120" t="n">
        <f aca="false">IF($F$3=1,N19+K19+H19,K19+H19)</f>
        <v>8</v>
      </c>
      <c r="S19" s="120" t="n">
        <f aca="false">IF($F$3=1,O19+L19+I19,L19+I19)</f>
        <v>6.85</v>
      </c>
      <c r="T19" s="121"/>
      <c r="U19" s="67" t="n">
        <f aca="false">A20-A19</f>
        <v>31</v>
      </c>
      <c r="V19" s="122" t="n">
        <f aca="false">CHOOSE(F$3,A20+24,A19)</f>
        <v>37530</v>
      </c>
      <c r="W19" s="67" t="n">
        <f aca="false">V19-C$3</f>
        <v>-8396</v>
      </c>
      <c r="X19" s="118" t="n">
        <f aca="false">VLOOKUP($A19,Table,MATCH(X$4,Curves,0))</f>
        <v>2</v>
      </c>
      <c r="Y19" s="123" t="n">
        <f aca="false">1/(1+CHOOSE(F$3,(X20+($K$3/10000))/2,(X19+($K$3/10000))/2))^(2*W19/365.25)</f>
        <v>69111470881269.2</v>
      </c>
      <c r="Z19" s="67" t="n">
        <f aca="false">IF(AND(mthbeg&lt;=A19,mthend&gt;=A19),1,0)</f>
        <v>0</v>
      </c>
      <c r="AA19" s="67" t="n">
        <f aca="false">U19*Z19</f>
        <v>0</v>
      </c>
      <c r="AC19" s="110" t="n">
        <f aca="false">F19*(H19-I19)</f>
        <v>0</v>
      </c>
      <c r="AD19" s="49"/>
      <c r="AE19" s="124"/>
    </row>
    <row r="20" customFormat="false" ht="12.75" hidden="false" customHeight="false" outlineLevel="0" collapsed="false">
      <c r="A20" s="115" t="n">
        <f aca="false">EDATE(A19,1)</f>
        <v>37561</v>
      </c>
      <c r="B20" s="116" t="n">
        <f aca="false">'Inputs-Summary'!$B$7</f>
        <v>3017157.21662952</v>
      </c>
      <c r="C20" s="57"/>
      <c r="D20" s="117" t="n">
        <f aca="false">B20+C20</f>
        <v>3017157.21662952</v>
      </c>
      <c r="E20" s="106" t="n">
        <f aca="false">IF(Z20=0,0,IF(AND(Z20=1,$H$3=1),D20*U20,IF($H$3=2,D20,"N/A")))</f>
        <v>0</v>
      </c>
      <c r="F20" s="106" t="n">
        <f aca="false">E20*Y20</f>
        <v>0</v>
      </c>
      <c r="G20" s="118" t="n">
        <f aca="false">VLOOKUP($A20,Table,MATCH(G$4,Curves,0))</f>
        <v>3</v>
      </c>
      <c r="H20" s="119" t="n">
        <f aca="false">G20+$H$7</f>
        <v>3</v>
      </c>
      <c r="I20" s="118" t="n">
        <f aca="false">'Inputs-Summary'!$B$16</f>
        <v>1.85</v>
      </c>
      <c r="J20" s="118" t="n">
        <f aca="false">VLOOKUP($A20,Table,MATCH(J$4,Curves,0))</f>
        <v>5</v>
      </c>
      <c r="K20" s="119" t="n">
        <f aca="false">J20+$K$7</f>
        <v>5</v>
      </c>
      <c r="L20" s="120" t="n">
        <f aca="false">K20</f>
        <v>5</v>
      </c>
      <c r="M20" s="118" t="n">
        <f aca="false">VLOOKUP($A20,Table,MATCH(M$4,Curves,0))</f>
        <v>5</v>
      </c>
      <c r="N20" s="119" t="n">
        <f aca="false">M20+$N$7</f>
        <v>5</v>
      </c>
      <c r="O20" s="120" t="n">
        <f aca="false">N20</f>
        <v>5</v>
      </c>
      <c r="P20" s="109"/>
      <c r="Q20" s="120" t="n">
        <f aca="false">IF($F$3=1,M20+J20+G20,J20+G20)</f>
        <v>8</v>
      </c>
      <c r="R20" s="120" t="n">
        <f aca="false">IF($F$3=1,N20+K20+H20,K20+H20)</f>
        <v>8</v>
      </c>
      <c r="S20" s="120" t="n">
        <f aca="false">IF($F$3=1,O20+L20+I20,L20+I20)</f>
        <v>6.85</v>
      </c>
      <c r="T20" s="121"/>
      <c r="U20" s="67" t="n">
        <f aca="false">A21-A20</f>
        <v>30</v>
      </c>
      <c r="V20" s="122" t="n">
        <f aca="false">CHOOSE(F$3,A21+24,A20)</f>
        <v>37561</v>
      </c>
      <c r="W20" s="67" t="n">
        <f aca="false">V20-C$3</f>
        <v>-8365</v>
      </c>
      <c r="X20" s="118" t="n">
        <f aca="false">VLOOKUP($A20,Table,MATCH(X$4,Curves,0))</f>
        <v>2</v>
      </c>
      <c r="Y20" s="123" t="n">
        <f aca="false">1/(1+CHOOSE(F$3,(X21+($K$3/10000))/2,(X20+($K$3/10000))/2))^(2*W20/365.25)</f>
        <v>61440009331880.7</v>
      </c>
      <c r="Z20" s="67" t="n">
        <f aca="false">IF(AND(mthbeg&lt;=A20,mthend&gt;=A20),1,0)</f>
        <v>0</v>
      </c>
      <c r="AA20" s="67" t="n">
        <f aca="false">U20*Z20</f>
        <v>0</v>
      </c>
      <c r="AC20" s="110" t="n">
        <f aca="false">F20*(H20-I20)</f>
        <v>0</v>
      </c>
      <c r="AD20" s="49"/>
      <c r="AE20" s="124"/>
    </row>
    <row r="21" customFormat="false" ht="12.75" hidden="false" customHeight="false" outlineLevel="0" collapsed="false">
      <c r="A21" s="115" t="n">
        <f aca="false">EDATE(A20,1)</f>
        <v>37591</v>
      </c>
      <c r="B21" s="116" t="n">
        <f aca="false">'Inputs-Summary'!$B$7</f>
        <v>3017157.21662952</v>
      </c>
      <c r="C21" s="57"/>
      <c r="D21" s="117" t="n">
        <f aca="false">B21+C21</f>
        <v>3017157.21662952</v>
      </c>
      <c r="E21" s="106" t="n">
        <f aca="false">IF(Z21=0,0,IF(AND(Z21=1,$H$3=1),D21*U21,IF($H$3=2,D21,"N/A")))</f>
        <v>0</v>
      </c>
      <c r="F21" s="106" t="n">
        <f aca="false">E21*Y21</f>
        <v>0</v>
      </c>
      <c r="G21" s="118" t="n">
        <f aca="false">VLOOKUP($A21,Table,MATCH(G$4,Curves,0))</f>
        <v>3</v>
      </c>
      <c r="H21" s="119" t="n">
        <f aca="false">G21+$H$7</f>
        <v>3</v>
      </c>
      <c r="I21" s="118" t="n">
        <f aca="false">'Inputs-Summary'!$B$16</f>
        <v>1.85</v>
      </c>
      <c r="J21" s="118" t="n">
        <f aca="false">VLOOKUP($A21,Table,MATCH(J$4,Curves,0))</f>
        <v>5</v>
      </c>
      <c r="K21" s="119" t="n">
        <f aca="false">J21+$K$7</f>
        <v>5</v>
      </c>
      <c r="L21" s="120" t="n">
        <f aca="false">K21</f>
        <v>5</v>
      </c>
      <c r="M21" s="118" t="n">
        <f aca="false">VLOOKUP($A21,Table,MATCH(M$4,Curves,0))</f>
        <v>5</v>
      </c>
      <c r="N21" s="119" t="n">
        <f aca="false">M21+$N$7</f>
        <v>5</v>
      </c>
      <c r="O21" s="120" t="n">
        <f aca="false">N21</f>
        <v>5</v>
      </c>
      <c r="P21" s="109"/>
      <c r="Q21" s="120" t="n">
        <f aca="false">IF($F$3=1,M21+J21+G21,J21+G21)</f>
        <v>8</v>
      </c>
      <c r="R21" s="120" t="n">
        <f aca="false">IF($F$3=1,N21+K21+H21,K21+H21)</f>
        <v>8</v>
      </c>
      <c r="S21" s="120" t="n">
        <f aca="false">IF($F$3=1,O21+L21+I21,L21+I21)</f>
        <v>6.85</v>
      </c>
      <c r="T21" s="121"/>
      <c r="U21" s="67" t="n">
        <f aca="false">A22-A21</f>
        <v>31</v>
      </c>
      <c r="V21" s="122" t="n">
        <f aca="false">CHOOSE(F$3,A22+24,A21)</f>
        <v>37591</v>
      </c>
      <c r="W21" s="67" t="n">
        <f aca="false">V21-C$3</f>
        <v>-8335</v>
      </c>
      <c r="X21" s="118" t="n">
        <f aca="false">VLOOKUP($A21,Table,MATCH(X$4,Curves,0))</f>
        <v>2</v>
      </c>
      <c r="Y21" s="123" t="n">
        <f aca="false">1/(1+CHOOSE(F$3,(X22+($K$3/10000))/2,(X21+($K$3/10000))/2))^(2*W21/365.25)</f>
        <v>54827792483139.1</v>
      </c>
      <c r="Z21" s="67" t="n">
        <f aca="false">IF(AND(mthbeg&lt;=A21,mthend&gt;=A21),1,0)</f>
        <v>0</v>
      </c>
      <c r="AA21" s="67" t="n">
        <f aca="false">U21*Z21</f>
        <v>0</v>
      </c>
      <c r="AC21" s="110" t="n">
        <f aca="false">F21*(H21-I21)</f>
        <v>0</v>
      </c>
      <c r="AD21" s="49"/>
      <c r="AE21" s="124"/>
    </row>
    <row r="22" customFormat="false" ht="12.75" hidden="false" customHeight="false" outlineLevel="0" collapsed="false">
      <c r="A22" s="115" t="n">
        <f aca="false">EDATE(A21,1)</f>
        <v>37622</v>
      </c>
      <c r="B22" s="116" t="n">
        <f aca="false">'Inputs-Summary'!$B$7</f>
        <v>3017157.21662952</v>
      </c>
      <c r="C22" s="57"/>
      <c r="D22" s="117" t="n">
        <f aca="false">B22+C22</f>
        <v>3017157.21662952</v>
      </c>
      <c r="E22" s="106" t="n">
        <f aca="false">IF(Z22=0,0,IF(AND(Z22=1,$H$3=1),D22*U22,IF($H$3=2,D22,"N/A")))</f>
        <v>0</v>
      </c>
      <c r="F22" s="106" t="n">
        <f aca="false">E22*Y22</f>
        <v>0</v>
      </c>
      <c r="G22" s="118" t="n">
        <f aca="false">VLOOKUP($A22,Table,MATCH(G$4,Curves,0))</f>
        <v>3</v>
      </c>
      <c r="H22" s="119" t="n">
        <f aca="false">G22+$H$7</f>
        <v>3</v>
      </c>
      <c r="I22" s="118" t="n">
        <f aca="false">'Inputs-Summary'!$B$16</f>
        <v>1.85</v>
      </c>
      <c r="J22" s="118" t="n">
        <f aca="false">VLOOKUP($A22,Table,MATCH(J$4,Curves,0))</f>
        <v>5</v>
      </c>
      <c r="K22" s="119" t="n">
        <f aca="false">J22+$K$7</f>
        <v>5</v>
      </c>
      <c r="L22" s="120" t="n">
        <f aca="false">K22</f>
        <v>5</v>
      </c>
      <c r="M22" s="118" t="n">
        <f aca="false">VLOOKUP($A22,Table,MATCH(M$4,Curves,0))</f>
        <v>5</v>
      </c>
      <c r="N22" s="119" t="n">
        <f aca="false">M22+$N$7</f>
        <v>5</v>
      </c>
      <c r="O22" s="120" t="n">
        <f aca="false">N22</f>
        <v>5</v>
      </c>
      <c r="P22" s="109"/>
      <c r="Q22" s="120" t="n">
        <f aca="false">IF($F$3=1,M22+J22+G22,J22+G22)</f>
        <v>8</v>
      </c>
      <c r="R22" s="120" t="n">
        <f aca="false">IF($F$3=1,N22+K22+H22,K22+H22)</f>
        <v>8</v>
      </c>
      <c r="S22" s="120" t="n">
        <f aca="false">IF($F$3=1,O22+L22+I22,L22+I22)</f>
        <v>6.85</v>
      </c>
      <c r="T22" s="121"/>
      <c r="U22" s="67" t="n">
        <f aca="false">A23-A22</f>
        <v>31</v>
      </c>
      <c r="V22" s="122" t="n">
        <f aca="false">CHOOSE(F$3,A23+24,A22)</f>
        <v>37622</v>
      </c>
      <c r="W22" s="67" t="n">
        <f aca="false">V22-C$3</f>
        <v>-8304</v>
      </c>
      <c r="X22" s="118" t="n">
        <f aca="false">VLOOKUP($A22,Table,MATCH(X$4,Curves,0))</f>
        <v>2</v>
      </c>
      <c r="Y22" s="123" t="n">
        <f aca="false">1/(1+CHOOSE(F$3,(X23+($K$3/10000))/2,(X22+($K$3/10000))/2))^(2*W22/365.25)</f>
        <v>48741837481619.2</v>
      </c>
      <c r="Z22" s="67" t="n">
        <f aca="false">IF(AND(mthbeg&lt;=A22,mthend&gt;=A22),1,0)</f>
        <v>0</v>
      </c>
      <c r="AA22" s="67" t="n">
        <f aca="false">U22*Z22</f>
        <v>0</v>
      </c>
      <c r="AC22" s="110" t="n">
        <f aca="false">F22*(H22-I22)</f>
        <v>0</v>
      </c>
      <c r="AD22" s="49"/>
      <c r="AE22" s="124"/>
    </row>
    <row r="23" customFormat="false" ht="12.75" hidden="false" customHeight="false" outlineLevel="0" collapsed="false">
      <c r="A23" s="115" t="n">
        <f aca="false">EDATE(A22,1)</f>
        <v>37653</v>
      </c>
      <c r="B23" s="116" t="n">
        <f aca="false">'Inputs-Summary'!$B$7</f>
        <v>3017157.21662952</v>
      </c>
      <c r="C23" s="57"/>
      <c r="D23" s="117" t="n">
        <f aca="false">B23+C23</f>
        <v>3017157.21662952</v>
      </c>
      <c r="E23" s="106" t="n">
        <f aca="false">IF(Z23=0,0,IF(AND(Z23=1,$H$3=1),D23*U23,IF($H$3=2,D23,"N/A")))</f>
        <v>0</v>
      </c>
      <c r="F23" s="106" t="n">
        <f aca="false">E23*Y23</f>
        <v>0</v>
      </c>
      <c r="G23" s="118" t="n">
        <f aca="false">VLOOKUP($A23,Table,MATCH(G$4,Curves,0))</f>
        <v>3</v>
      </c>
      <c r="H23" s="119" t="n">
        <f aca="false">G23+$H$7</f>
        <v>3</v>
      </c>
      <c r="I23" s="118" t="n">
        <f aca="false">'Inputs-Summary'!$B$16</f>
        <v>1.85</v>
      </c>
      <c r="J23" s="118" t="n">
        <f aca="false">VLOOKUP($A23,Table,MATCH(J$4,Curves,0))</f>
        <v>5</v>
      </c>
      <c r="K23" s="119" t="n">
        <f aca="false">J23+$K$7</f>
        <v>5</v>
      </c>
      <c r="L23" s="120" t="n">
        <f aca="false">K23</f>
        <v>5</v>
      </c>
      <c r="M23" s="118" t="n">
        <f aca="false">VLOOKUP($A23,Table,MATCH(M$4,Curves,0))</f>
        <v>5</v>
      </c>
      <c r="N23" s="119" t="n">
        <f aca="false">M23+$N$7</f>
        <v>5</v>
      </c>
      <c r="O23" s="120" t="n">
        <f aca="false">N23</f>
        <v>5</v>
      </c>
      <c r="P23" s="109"/>
      <c r="Q23" s="120" t="n">
        <f aca="false">IF($F$3=1,M23+J23+G23,J23+G23)</f>
        <v>8</v>
      </c>
      <c r="R23" s="120" t="n">
        <f aca="false">IF($F$3=1,N23+K23+H23,K23+H23)</f>
        <v>8</v>
      </c>
      <c r="S23" s="120" t="n">
        <f aca="false">IF($F$3=1,O23+L23+I23,L23+I23)</f>
        <v>6.85</v>
      </c>
      <c r="T23" s="121"/>
      <c r="U23" s="67" t="n">
        <f aca="false">A24-A23</f>
        <v>28</v>
      </c>
      <c r="V23" s="122" t="n">
        <f aca="false">CHOOSE(F$3,A24+24,A23)</f>
        <v>37653</v>
      </c>
      <c r="W23" s="67" t="n">
        <f aca="false">V23-C$3</f>
        <v>-8273</v>
      </c>
      <c r="X23" s="118" t="n">
        <f aca="false">VLOOKUP($A23,Table,MATCH(X$4,Curves,0))</f>
        <v>2</v>
      </c>
      <c r="Y23" s="123" t="n">
        <f aca="false">1/(1+CHOOSE(F$3,(X24+($K$3/10000))/2,(X23+($K$3/10000))/2))^(2*W23/365.25)</f>
        <v>43331431259341.5</v>
      </c>
      <c r="Z23" s="67" t="n">
        <f aca="false">IF(AND(mthbeg&lt;=A23,mthend&gt;=A23),1,0)</f>
        <v>0</v>
      </c>
      <c r="AA23" s="67" t="n">
        <f aca="false">U23*Z23</f>
        <v>0</v>
      </c>
      <c r="AC23" s="110" t="n">
        <f aca="false">F23*(H23-I23)</f>
        <v>0</v>
      </c>
      <c r="AD23" s="49"/>
      <c r="AE23" s="124"/>
    </row>
    <row r="24" customFormat="false" ht="12.75" hidden="false" customHeight="false" outlineLevel="0" collapsed="false">
      <c r="A24" s="115" t="n">
        <f aca="false">EDATE(A23,1)</f>
        <v>37681</v>
      </c>
      <c r="B24" s="116" t="n">
        <f aca="false">'Inputs-Summary'!$B$7</f>
        <v>3017157.21662952</v>
      </c>
      <c r="C24" s="57"/>
      <c r="D24" s="117" t="n">
        <f aca="false">B24+C24</f>
        <v>3017157.21662952</v>
      </c>
      <c r="E24" s="106" t="n">
        <f aca="false">IF(Z24=0,0,IF(AND(Z24=1,$H$3=1),D24*U24,IF($H$3=2,D24,"N/A")))</f>
        <v>0</v>
      </c>
      <c r="F24" s="106" t="n">
        <f aca="false">E24*Y24</f>
        <v>0</v>
      </c>
      <c r="G24" s="118" t="n">
        <f aca="false">VLOOKUP($A24,Table,MATCH(G$4,Curves,0))</f>
        <v>3</v>
      </c>
      <c r="H24" s="119" t="n">
        <f aca="false">G24+$H$7</f>
        <v>3</v>
      </c>
      <c r="I24" s="118" t="n">
        <f aca="false">'Inputs-Summary'!$B$16</f>
        <v>1.85</v>
      </c>
      <c r="J24" s="118" t="n">
        <f aca="false">VLOOKUP($A24,Table,MATCH(J$4,Curves,0))</f>
        <v>5</v>
      </c>
      <c r="K24" s="119" t="n">
        <f aca="false">J24+$K$7</f>
        <v>5</v>
      </c>
      <c r="L24" s="120" t="n">
        <f aca="false">K24</f>
        <v>5</v>
      </c>
      <c r="M24" s="118" t="n">
        <f aca="false">VLOOKUP($A24,Table,MATCH(M$4,Curves,0))</f>
        <v>5</v>
      </c>
      <c r="N24" s="119" t="n">
        <f aca="false">M24+$N$7</f>
        <v>5</v>
      </c>
      <c r="O24" s="120" t="n">
        <f aca="false">N24</f>
        <v>5</v>
      </c>
      <c r="P24" s="109"/>
      <c r="Q24" s="120" t="n">
        <f aca="false">IF($F$3=1,M24+J24+G24,J24+G24)</f>
        <v>8</v>
      </c>
      <c r="R24" s="120" t="n">
        <f aca="false">IF($F$3=1,N24+K24+H24,K24+H24)</f>
        <v>8</v>
      </c>
      <c r="S24" s="120" t="n">
        <f aca="false">IF($F$3=1,O24+L24+I24,L24+I24)</f>
        <v>6.85</v>
      </c>
      <c r="T24" s="121"/>
      <c r="U24" s="67" t="n">
        <f aca="false">A25-A24</f>
        <v>31</v>
      </c>
      <c r="V24" s="122" t="n">
        <f aca="false">CHOOSE(F$3,A25+24,A24)</f>
        <v>37681</v>
      </c>
      <c r="W24" s="67" t="n">
        <f aca="false">V24-C$3</f>
        <v>-8245</v>
      </c>
      <c r="X24" s="118" t="n">
        <f aca="false">VLOOKUP($A24,Table,MATCH(X$4,Curves,0))</f>
        <v>2</v>
      </c>
      <c r="Y24" s="123" t="n">
        <f aca="false">1/(1+CHOOSE(F$3,(X25+($K$3/10000))/2,(X24+($K$3/10000))/2))^(2*W24/365.25)</f>
        <v>38962715957944.5</v>
      </c>
      <c r="Z24" s="67" t="n">
        <f aca="false">IF(AND(mthbeg&lt;=A24,mthend&gt;=A24),1,0)</f>
        <v>0</v>
      </c>
      <c r="AA24" s="67" t="n">
        <f aca="false">U24*Z24</f>
        <v>0</v>
      </c>
      <c r="AC24" s="110" t="n">
        <f aca="false">F24*(H24-I24)</f>
        <v>0</v>
      </c>
      <c r="AD24" s="49"/>
      <c r="AE24" s="124"/>
    </row>
    <row r="25" customFormat="false" ht="12.75" hidden="false" customHeight="false" outlineLevel="0" collapsed="false">
      <c r="A25" s="115" t="n">
        <f aca="false">EDATE(A24,1)</f>
        <v>37712</v>
      </c>
      <c r="B25" s="116" t="n">
        <f aca="false">'Inputs-Summary'!$B$7</f>
        <v>3017157.21662952</v>
      </c>
      <c r="C25" s="57"/>
      <c r="D25" s="117" t="n">
        <f aca="false">B25+C25</f>
        <v>3017157.21662952</v>
      </c>
      <c r="E25" s="106" t="n">
        <f aca="false">IF(Z25=0,0,IF(AND(Z25=1,$H$3=1),D25*U25,IF($H$3=2,D25,"N/A")))</f>
        <v>0</v>
      </c>
      <c r="F25" s="106" t="n">
        <f aca="false">E25*Y25</f>
        <v>0</v>
      </c>
      <c r="G25" s="118" t="n">
        <f aca="false">VLOOKUP($A25,Table,MATCH(G$4,Curves,0))</f>
        <v>3</v>
      </c>
      <c r="H25" s="119" t="n">
        <f aca="false">G25+$H$7</f>
        <v>3</v>
      </c>
      <c r="I25" s="118" t="n">
        <f aca="false">'Inputs-Summary'!$B$16</f>
        <v>1.85</v>
      </c>
      <c r="J25" s="118" t="n">
        <f aca="false">VLOOKUP($A25,Table,MATCH(J$4,Curves,0))</f>
        <v>5</v>
      </c>
      <c r="K25" s="119" t="n">
        <f aca="false">J25+$K$7</f>
        <v>5</v>
      </c>
      <c r="L25" s="120" t="n">
        <f aca="false">K25</f>
        <v>5</v>
      </c>
      <c r="M25" s="118" t="n">
        <f aca="false">VLOOKUP($A25,Table,MATCH(M$4,Curves,0))</f>
        <v>5</v>
      </c>
      <c r="N25" s="119" t="n">
        <f aca="false">M25+$N$7</f>
        <v>5</v>
      </c>
      <c r="O25" s="120" t="n">
        <f aca="false">N25</f>
        <v>5</v>
      </c>
      <c r="P25" s="109"/>
      <c r="Q25" s="120" t="n">
        <f aca="false">IF($F$3=1,M25+J25+G25,J25+G25)</f>
        <v>8</v>
      </c>
      <c r="R25" s="120" t="n">
        <f aca="false">IF($F$3=1,N25+K25+H25,K25+H25)</f>
        <v>8</v>
      </c>
      <c r="S25" s="120" t="n">
        <f aca="false">IF($F$3=1,O25+L25+I25,L25+I25)</f>
        <v>6.85</v>
      </c>
      <c r="T25" s="121"/>
      <c r="U25" s="67" t="n">
        <f aca="false">A26-A25</f>
        <v>30</v>
      </c>
      <c r="V25" s="122" t="n">
        <f aca="false">CHOOSE(F$3,A26+24,A25)</f>
        <v>37712</v>
      </c>
      <c r="W25" s="67" t="n">
        <f aca="false">V25-C$3</f>
        <v>-8214</v>
      </c>
      <c r="X25" s="118" t="n">
        <f aca="false">VLOOKUP($A25,Table,MATCH(X$4,Curves,0))</f>
        <v>2</v>
      </c>
      <c r="Y25" s="123" t="n">
        <f aca="false">1/(1+CHOOSE(F$3,(X26+($K$3/10000))/2,(X25+($K$3/10000))/2))^(2*W25/365.25)</f>
        <v>34637804716442.8</v>
      </c>
      <c r="Z25" s="67" t="n">
        <f aca="false">IF(AND(mthbeg&lt;=A25,mthend&gt;=A25),1,0)</f>
        <v>0</v>
      </c>
      <c r="AA25" s="67" t="n">
        <f aca="false">U25*Z25</f>
        <v>0</v>
      </c>
      <c r="AC25" s="110" t="n">
        <f aca="false">F25*(H25-I25)</f>
        <v>0</v>
      </c>
      <c r="AD25" s="49"/>
      <c r="AE25" s="124"/>
    </row>
    <row r="26" customFormat="false" ht="12.75" hidden="false" customHeight="false" outlineLevel="0" collapsed="false">
      <c r="A26" s="115" t="n">
        <f aca="false">EDATE(A25,1)</f>
        <v>37742</v>
      </c>
      <c r="B26" s="116" t="n">
        <f aca="false">'Inputs-Summary'!$B$7</f>
        <v>3017157.21662952</v>
      </c>
      <c r="C26" s="57"/>
      <c r="D26" s="117" t="n">
        <f aca="false">B26+C26</f>
        <v>3017157.21662952</v>
      </c>
      <c r="E26" s="106" t="n">
        <f aca="false">IF(Z26=0,0,IF(AND(Z26=1,$H$3=1),D26*U26,IF($H$3=2,D26,"N/A")))</f>
        <v>0</v>
      </c>
      <c r="F26" s="106" t="n">
        <f aca="false">E26*Y26</f>
        <v>0</v>
      </c>
      <c r="G26" s="118" t="n">
        <f aca="false">VLOOKUP($A26,Table,MATCH(G$4,Curves,0))</f>
        <v>3</v>
      </c>
      <c r="H26" s="119" t="n">
        <f aca="false">G26+$H$7</f>
        <v>3</v>
      </c>
      <c r="I26" s="118" t="n">
        <f aca="false">'Inputs-Summary'!$B$16</f>
        <v>1.85</v>
      </c>
      <c r="J26" s="118" t="n">
        <f aca="false">VLOOKUP($A26,Table,MATCH(J$4,Curves,0))</f>
        <v>5</v>
      </c>
      <c r="K26" s="119" t="n">
        <f aca="false">J26+$K$7</f>
        <v>5</v>
      </c>
      <c r="L26" s="120" t="n">
        <f aca="false">K26</f>
        <v>5</v>
      </c>
      <c r="M26" s="118" t="n">
        <f aca="false">VLOOKUP($A26,Table,MATCH(M$4,Curves,0))</f>
        <v>5</v>
      </c>
      <c r="N26" s="119" t="n">
        <f aca="false">M26+$N$7</f>
        <v>5</v>
      </c>
      <c r="O26" s="120" t="n">
        <f aca="false">N26</f>
        <v>5</v>
      </c>
      <c r="P26" s="109"/>
      <c r="Q26" s="120" t="n">
        <f aca="false">IF($F$3=1,M26+J26+G26,J26+G26)</f>
        <v>8</v>
      </c>
      <c r="R26" s="120" t="n">
        <f aca="false">IF($F$3=1,N26+K26+H26,K26+H26)</f>
        <v>8</v>
      </c>
      <c r="S26" s="120" t="n">
        <f aca="false">IF($F$3=1,O26+L26+I26,L26+I26)</f>
        <v>6.85</v>
      </c>
      <c r="T26" s="121"/>
      <c r="U26" s="67" t="n">
        <f aca="false">A27-A26</f>
        <v>31</v>
      </c>
      <c r="V26" s="122" t="n">
        <f aca="false">CHOOSE(F$3,A27+24,A26)</f>
        <v>37742</v>
      </c>
      <c r="W26" s="67" t="n">
        <f aca="false">V26-C$3</f>
        <v>-8184</v>
      </c>
      <c r="X26" s="118" t="n">
        <f aca="false">VLOOKUP($A26,Table,MATCH(X$4,Curves,0))</f>
        <v>2</v>
      </c>
      <c r="Y26" s="123" t="n">
        <f aca="false">1/(1+CHOOSE(F$3,(X27+($K$3/10000))/2,(X26+($K$3/10000))/2))^(2*W26/365.25)</f>
        <v>30910059905853.4</v>
      </c>
      <c r="Z26" s="67" t="n">
        <f aca="false">IF(AND(mthbeg&lt;=A26,mthend&gt;=A26),1,0)</f>
        <v>0</v>
      </c>
      <c r="AA26" s="67" t="n">
        <f aca="false">U26*Z26</f>
        <v>0</v>
      </c>
      <c r="AC26" s="110" t="n">
        <f aca="false">F26*(H26-I26)</f>
        <v>0</v>
      </c>
      <c r="AD26" s="49"/>
      <c r="AE26" s="124"/>
    </row>
    <row r="27" customFormat="false" ht="12.75" hidden="false" customHeight="false" outlineLevel="0" collapsed="false">
      <c r="A27" s="115" t="n">
        <f aca="false">EDATE(A26,1)</f>
        <v>37773</v>
      </c>
      <c r="B27" s="116" t="n">
        <f aca="false">'Inputs-Summary'!$B$7</f>
        <v>3017157.21662952</v>
      </c>
      <c r="C27" s="57"/>
      <c r="D27" s="117" t="n">
        <f aca="false">B27+C27</f>
        <v>3017157.21662952</v>
      </c>
      <c r="E27" s="106" t="n">
        <f aca="false">IF(Z27=0,0,IF(AND(Z27=1,$H$3=1),D27*U27,IF($H$3=2,D27,"N/A")))</f>
        <v>0</v>
      </c>
      <c r="F27" s="106" t="n">
        <f aca="false">E27*Y27</f>
        <v>0</v>
      </c>
      <c r="G27" s="118" t="n">
        <f aca="false">VLOOKUP($A27,Table,MATCH(G$4,Curves,0))</f>
        <v>3</v>
      </c>
      <c r="H27" s="119" t="n">
        <f aca="false">G27+$H$7</f>
        <v>3</v>
      </c>
      <c r="I27" s="118" t="n">
        <f aca="false">'Inputs-Summary'!$B$16</f>
        <v>1.85</v>
      </c>
      <c r="J27" s="118" t="n">
        <f aca="false">VLOOKUP($A27,Table,MATCH(J$4,Curves,0))</f>
        <v>5</v>
      </c>
      <c r="K27" s="119" t="n">
        <f aca="false">J27+$K$7</f>
        <v>5</v>
      </c>
      <c r="L27" s="120" t="n">
        <f aca="false">K27</f>
        <v>5</v>
      </c>
      <c r="M27" s="118" t="n">
        <f aca="false">VLOOKUP($A27,Table,MATCH(M$4,Curves,0))</f>
        <v>5</v>
      </c>
      <c r="N27" s="119" t="n">
        <f aca="false">M27+$N$7</f>
        <v>5</v>
      </c>
      <c r="O27" s="120" t="n">
        <f aca="false">N27</f>
        <v>5</v>
      </c>
      <c r="P27" s="109"/>
      <c r="Q27" s="120" t="n">
        <f aca="false">IF($F$3=1,M27+J27+G27,J27+G27)</f>
        <v>8</v>
      </c>
      <c r="R27" s="120" t="n">
        <f aca="false">IF($F$3=1,N27+K27+H27,K27+H27)</f>
        <v>8</v>
      </c>
      <c r="S27" s="120" t="n">
        <f aca="false">IF($F$3=1,O27+L27+I27,L27+I27)</f>
        <v>6.85</v>
      </c>
      <c r="T27" s="121"/>
      <c r="U27" s="67" t="n">
        <f aca="false">A28-A27</f>
        <v>30</v>
      </c>
      <c r="V27" s="122" t="n">
        <f aca="false">CHOOSE(F$3,A28+24,A27)</f>
        <v>37773</v>
      </c>
      <c r="W27" s="67" t="n">
        <f aca="false">V27-C$3</f>
        <v>-8153</v>
      </c>
      <c r="X27" s="118" t="n">
        <f aca="false">VLOOKUP($A27,Table,MATCH(X$4,Curves,0))</f>
        <v>2</v>
      </c>
      <c r="Y27" s="123" t="n">
        <f aca="false">1/(1+CHOOSE(F$3,(X28+($K$3/10000))/2,(X27+($K$3/10000))/2))^(2*W27/365.25)</f>
        <v>27479003772430.6</v>
      </c>
      <c r="Z27" s="67" t="n">
        <f aca="false">IF(AND(mthbeg&lt;=A27,mthend&gt;=A27),1,0)</f>
        <v>0</v>
      </c>
      <c r="AA27" s="67" t="n">
        <f aca="false">U27*Z27</f>
        <v>0</v>
      </c>
      <c r="AC27" s="110" t="n">
        <f aca="false">F27*(H27-I27)</f>
        <v>0</v>
      </c>
      <c r="AD27" s="49"/>
      <c r="AE27" s="124"/>
    </row>
    <row r="28" customFormat="false" ht="12.75" hidden="false" customHeight="false" outlineLevel="0" collapsed="false">
      <c r="A28" s="115" t="n">
        <f aca="false">EDATE(A27,1)</f>
        <v>37803</v>
      </c>
      <c r="B28" s="116" t="n">
        <f aca="false">'Inputs-Summary'!$B$7</f>
        <v>3017157.21662952</v>
      </c>
      <c r="C28" s="57"/>
      <c r="D28" s="117" t="n">
        <f aca="false">B28+C28</f>
        <v>3017157.21662952</v>
      </c>
      <c r="E28" s="106" t="n">
        <f aca="false">IF(Z28=0,0,IF(AND(Z28=1,$H$3=1),D28*U28,IF($H$3=2,D28,"N/A")))</f>
        <v>0</v>
      </c>
      <c r="F28" s="106" t="n">
        <f aca="false">E28*Y28</f>
        <v>0</v>
      </c>
      <c r="G28" s="118" t="n">
        <f aca="false">VLOOKUP($A28,Table,MATCH(G$4,Curves,0))</f>
        <v>3</v>
      </c>
      <c r="H28" s="119" t="n">
        <f aca="false">G28+$H$7</f>
        <v>3</v>
      </c>
      <c r="I28" s="118" t="n">
        <f aca="false">'Inputs-Summary'!$B$16</f>
        <v>1.85</v>
      </c>
      <c r="J28" s="118" t="n">
        <f aca="false">VLOOKUP($A28,Table,MATCH(J$4,Curves,0))</f>
        <v>5</v>
      </c>
      <c r="K28" s="119" t="n">
        <f aca="false">J28+$K$7</f>
        <v>5</v>
      </c>
      <c r="L28" s="120" t="n">
        <f aca="false">K28</f>
        <v>5</v>
      </c>
      <c r="M28" s="118" t="n">
        <f aca="false">VLOOKUP($A28,Table,MATCH(M$4,Curves,0))</f>
        <v>5</v>
      </c>
      <c r="N28" s="119" t="n">
        <f aca="false">M28+$N$7</f>
        <v>5</v>
      </c>
      <c r="O28" s="120" t="n">
        <f aca="false">N28</f>
        <v>5</v>
      </c>
      <c r="P28" s="109"/>
      <c r="Q28" s="120" t="n">
        <f aca="false">IF($F$3=1,M28+J28+G28,J28+G28)</f>
        <v>8</v>
      </c>
      <c r="R28" s="120" t="n">
        <f aca="false">IF($F$3=1,N28+K28+H28,K28+H28)</f>
        <v>8</v>
      </c>
      <c r="S28" s="120" t="n">
        <f aca="false">IF($F$3=1,O28+L28+I28,L28+I28)</f>
        <v>6.85</v>
      </c>
      <c r="T28" s="121"/>
      <c r="U28" s="67" t="n">
        <f aca="false">A29-A28</f>
        <v>31</v>
      </c>
      <c r="V28" s="122" t="n">
        <f aca="false">CHOOSE(F$3,A29+24,A28)</f>
        <v>37803</v>
      </c>
      <c r="W28" s="67" t="n">
        <f aca="false">V28-C$3</f>
        <v>-8123</v>
      </c>
      <c r="X28" s="118" t="n">
        <f aca="false">VLOOKUP($A28,Table,MATCH(X$4,Curves,0))</f>
        <v>2</v>
      </c>
      <c r="Y28" s="123" t="n">
        <f aca="false">1/(1+CHOOSE(F$3,(X29+($K$3/10000))/2,(X28+($K$3/10000))/2))^(2*W28/365.25)</f>
        <v>24521694134842.1</v>
      </c>
      <c r="Z28" s="67" t="n">
        <f aca="false">IF(AND(mthbeg&lt;=A28,mthend&gt;=A28),1,0)</f>
        <v>0</v>
      </c>
      <c r="AA28" s="67" t="n">
        <f aca="false">U28*Z28</f>
        <v>0</v>
      </c>
      <c r="AC28" s="110" t="n">
        <f aca="false">F28*(H28-I28)</f>
        <v>0</v>
      </c>
      <c r="AD28" s="49"/>
      <c r="AE28" s="124"/>
    </row>
    <row r="29" customFormat="false" ht="12.75" hidden="false" customHeight="false" outlineLevel="0" collapsed="false">
      <c r="A29" s="115" t="n">
        <f aca="false">EDATE(A28,1)</f>
        <v>37834</v>
      </c>
      <c r="B29" s="116" t="n">
        <f aca="false">'Inputs-Summary'!$B$7</f>
        <v>3017157.21662952</v>
      </c>
      <c r="C29" s="57"/>
      <c r="D29" s="117" t="n">
        <f aca="false">B29+C29</f>
        <v>3017157.21662952</v>
      </c>
      <c r="E29" s="106" t="n">
        <f aca="false">IF(Z29=0,0,IF(AND(Z29=1,$H$3=1),D29*U29,IF($H$3=2,D29,"N/A")))</f>
        <v>0</v>
      </c>
      <c r="F29" s="106" t="n">
        <f aca="false">E29*Y29</f>
        <v>0</v>
      </c>
      <c r="G29" s="118" t="n">
        <f aca="false">VLOOKUP($A29,Table,MATCH(G$4,Curves,0))</f>
        <v>3</v>
      </c>
      <c r="H29" s="119" t="n">
        <f aca="false">G29+$H$7</f>
        <v>3</v>
      </c>
      <c r="I29" s="118" t="n">
        <f aca="false">'Inputs-Summary'!$B$16</f>
        <v>1.85</v>
      </c>
      <c r="J29" s="118" t="n">
        <f aca="false">VLOOKUP($A29,Table,MATCH(J$4,Curves,0))</f>
        <v>5</v>
      </c>
      <c r="K29" s="119" t="n">
        <f aca="false">J29+$K$7</f>
        <v>5</v>
      </c>
      <c r="L29" s="120" t="n">
        <f aca="false">K29</f>
        <v>5</v>
      </c>
      <c r="M29" s="118" t="n">
        <f aca="false">VLOOKUP($A29,Table,MATCH(M$4,Curves,0))</f>
        <v>5</v>
      </c>
      <c r="N29" s="119" t="n">
        <f aca="false">M29+$N$7</f>
        <v>5</v>
      </c>
      <c r="O29" s="120" t="n">
        <f aca="false">N29</f>
        <v>5</v>
      </c>
      <c r="P29" s="109"/>
      <c r="Q29" s="120" t="n">
        <f aca="false">IF($F$3=1,M29+J29+G29,J29+G29)</f>
        <v>8</v>
      </c>
      <c r="R29" s="120" t="n">
        <f aca="false">IF($F$3=1,N29+K29+H29,K29+H29)</f>
        <v>8</v>
      </c>
      <c r="S29" s="120" t="n">
        <f aca="false">IF($F$3=1,O29+L29+I29,L29+I29)</f>
        <v>6.85</v>
      </c>
      <c r="T29" s="121"/>
      <c r="U29" s="67" t="n">
        <f aca="false">A30-A29</f>
        <v>31</v>
      </c>
      <c r="V29" s="122" t="n">
        <f aca="false">CHOOSE(F$3,A30+24,A29)</f>
        <v>37834</v>
      </c>
      <c r="W29" s="67" t="n">
        <f aca="false">V29-C$3</f>
        <v>-8092</v>
      </c>
      <c r="X29" s="118" t="n">
        <f aca="false">VLOOKUP($A29,Table,MATCH(X$4,Curves,0))</f>
        <v>2</v>
      </c>
      <c r="Y29" s="123" t="n">
        <f aca="false">1/(1+CHOOSE(F$3,(X30+($K$3/10000))/2,(X29+($K$3/10000))/2))^(2*W29/365.25)</f>
        <v>21799754762368.2</v>
      </c>
      <c r="Z29" s="67" t="n">
        <f aca="false">IF(AND(mthbeg&lt;=A29,mthend&gt;=A29),1,0)</f>
        <v>0</v>
      </c>
      <c r="AA29" s="67" t="n">
        <f aca="false">U29*Z29</f>
        <v>0</v>
      </c>
      <c r="AC29" s="110" t="n">
        <f aca="false">F29*(H29-I29)</f>
        <v>0</v>
      </c>
      <c r="AD29" s="49"/>
      <c r="AE29" s="124"/>
    </row>
    <row r="30" customFormat="false" ht="12.75" hidden="false" customHeight="false" outlineLevel="0" collapsed="false">
      <c r="A30" s="115" t="n">
        <f aca="false">EDATE(A29,1)</f>
        <v>37865</v>
      </c>
      <c r="B30" s="116" t="n">
        <f aca="false">'Inputs-Summary'!$B$7</f>
        <v>3017157.21662952</v>
      </c>
      <c r="C30" s="57"/>
      <c r="D30" s="117" t="n">
        <f aca="false">B30+C30</f>
        <v>3017157.21662952</v>
      </c>
      <c r="E30" s="106" t="n">
        <f aca="false">IF(Z30=0,0,IF(AND(Z30=1,$H$3=1),D30*U30,IF($H$3=2,D30,"N/A")))</f>
        <v>0</v>
      </c>
      <c r="F30" s="106" t="n">
        <f aca="false">E30*Y30</f>
        <v>0</v>
      </c>
      <c r="G30" s="118" t="n">
        <f aca="false">VLOOKUP($A30,Table,MATCH(G$4,Curves,0))</f>
        <v>3</v>
      </c>
      <c r="H30" s="119" t="n">
        <f aca="false">G30+$H$7</f>
        <v>3</v>
      </c>
      <c r="I30" s="118" t="n">
        <f aca="false">'Inputs-Summary'!$B$16</f>
        <v>1.85</v>
      </c>
      <c r="J30" s="118" t="n">
        <f aca="false">VLOOKUP($A30,Table,MATCH(J$4,Curves,0))</f>
        <v>5</v>
      </c>
      <c r="K30" s="119" t="n">
        <f aca="false">J30+$K$7</f>
        <v>5</v>
      </c>
      <c r="L30" s="120" t="n">
        <f aca="false">K30</f>
        <v>5</v>
      </c>
      <c r="M30" s="118" t="n">
        <f aca="false">VLOOKUP($A30,Table,MATCH(M$4,Curves,0))</f>
        <v>5</v>
      </c>
      <c r="N30" s="119" t="n">
        <f aca="false">M30+$N$7</f>
        <v>5</v>
      </c>
      <c r="O30" s="120" t="n">
        <f aca="false">N30</f>
        <v>5</v>
      </c>
      <c r="P30" s="109"/>
      <c r="Q30" s="120" t="n">
        <f aca="false">IF($F$3=1,M30+J30+G30,J30+G30)</f>
        <v>8</v>
      </c>
      <c r="R30" s="120" t="n">
        <f aca="false">IF($F$3=1,N30+K30+H30,K30+H30)</f>
        <v>8</v>
      </c>
      <c r="S30" s="120" t="n">
        <f aca="false">IF($F$3=1,O30+L30+I30,L30+I30)</f>
        <v>6.85</v>
      </c>
      <c r="T30" s="121"/>
      <c r="U30" s="67" t="n">
        <f aca="false">A31-A30</f>
        <v>30</v>
      </c>
      <c r="V30" s="122" t="n">
        <f aca="false">CHOOSE(F$3,A31+24,A30)</f>
        <v>37865</v>
      </c>
      <c r="W30" s="67" t="n">
        <f aca="false">V30-C$3</f>
        <v>-8061</v>
      </c>
      <c r="X30" s="118" t="n">
        <f aca="false">VLOOKUP($A30,Table,MATCH(X$4,Curves,0))</f>
        <v>2</v>
      </c>
      <c r="Y30" s="123" t="n">
        <f aca="false">1/(1+CHOOSE(F$3,(X31+($K$3/10000))/2,(X30+($K$3/10000))/2))^(2*W30/365.25)</f>
        <v>19379954137188.2</v>
      </c>
      <c r="Z30" s="67" t="n">
        <f aca="false">IF(AND(mthbeg&lt;=A30,mthend&gt;=A30),1,0)</f>
        <v>0</v>
      </c>
      <c r="AA30" s="67" t="n">
        <f aca="false">U30*Z30</f>
        <v>0</v>
      </c>
      <c r="AC30" s="110" t="n">
        <f aca="false">F30*(H30-I30)</f>
        <v>0</v>
      </c>
      <c r="AD30" s="49"/>
      <c r="AE30" s="124"/>
    </row>
    <row r="31" customFormat="false" ht="12.75" hidden="false" customHeight="false" outlineLevel="0" collapsed="false">
      <c r="A31" s="115" t="n">
        <f aca="false">EDATE(A30,1)</f>
        <v>37895</v>
      </c>
      <c r="B31" s="116" t="n">
        <f aca="false">'Inputs-Summary'!$B$7</f>
        <v>3017157.21662952</v>
      </c>
      <c r="C31" s="57"/>
      <c r="D31" s="117" t="n">
        <f aca="false">B31+C31</f>
        <v>3017157.21662952</v>
      </c>
      <c r="E31" s="106" t="n">
        <f aca="false">IF(Z31=0,0,IF(AND(Z31=1,$H$3=1),D31*U31,IF($H$3=2,D31,"N/A")))</f>
        <v>0</v>
      </c>
      <c r="F31" s="106" t="n">
        <f aca="false">E31*Y31</f>
        <v>0</v>
      </c>
      <c r="G31" s="118" t="n">
        <f aca="false">VLOOKUP($A31,Table,MATCH(G$4,Curves,0))</f>
        <v>3</v>
      </c>
      <c r="H31" s="119" t="n">
        <f aca="false">G31+$H$7</f>
        <v>3</v>
      </c>
      <c r="I31" s="118" t="n">
        <f aca="false">'Inputs-Summary'!$B$16</f>
        <v>1.85</v>
      </c>
      <c r="J31" s="118" t="n">
        <f aca="false">VLOOKUP($A31,Table,MATCH(J$4,Curves,0))</f>
        <v>5</v>
      </c>
      <c r="K31" s="119" t="n">
        <f aca="false">J31+$K$7</f>
        <v>5</v>
      </c>
      <c r="L31" s="120" t="n">
        <f aca="false">K31</f>
        <v>5</v>
      </c>
      <c r="M31" s="118" t="n">
        <f aca="false">VLOOKUP($A31,Table,MATCH(M$4,Curves,0))</f>
        <v>5</v>
      </c>
      <c r="N31" s="119" t="n">
        <f aca="false">M31+$N$7</f>
        <v>5</v>
      </c>
      <c r="O31" s="120" t="n">
        <f aca="false">N31</f>
        <v>5</v>
      </c>
      <c r="P31" s="109"/>
      <c r="Q31" s="120" t="n">
        <f aca="false">IF($F$3=1,M31+J31+G31,J31+G31)</f>
        <v>8</v>
      </c>
      <c r="R31" s="120" t="n">
        <f aca="false">IF($F$3=1,N31+K31+H31,K31+H31)</f>
        <v>8</v>
      </c>
      <c r="S31" s="120" t="n">
        <f aca="false">IF($F$3=1,O31+L31+I31,L31+I31)</f>
        <v>6.85</v>
      </c>
      <c r="T31" s="121"/>
      <c r="U31" s="67" t="n">
        <f aca="false">A32-A31</f>
        <v>31</v>
      </c>
      <c r="V31" s="122" t="n">
        <f aca="false">CHOOSE(F$3,A32+24,A31)</f>
        <v>37895</v>
      </c>
      <c r="W31" s="67" t="n">
        <f aca="false">V31-C$3</f>
        <v>-8031</v>
      </c>
      <c r="X31" s="118" t="n">
        <f aca="false">VLOOKUP($A31,Table,MATCH(X$4,Curves,0))</f>
        <v>2</v>
      </c>
      <c r="Y31" s="123" t="n">
        <f aca="false">1/(1+CHOOSE(F$3,(X32+($K$3/10000))/2,(X31+($K$3/10000))/2))^(2*W31/365.25)</f>
        <v>17294269895482.5</v>
      </c>
      <c r="Z31" s="67" t="n">
        <f aca="false">IF(AND(mthbeg&lt;=A31,mthend&gt;=A31),1,0)</f>
        <v>0</v>
      </c>
      <c r="AA31" s="67" t="n">
        <f aca="false">U31*Z31</f>
        <v>0</v>
      </c>
      <c r="AC31" s="110" t="n">
        <f aca="false">F31*(H31-I31)</f>
        <v>0</v>
      </c>
      <c r="AD31" s="49"/>
      <c r="AE31" s="124"/>
    </row>
    <row r="32" customFormat="false" ht="12.75" hidden="false" customHeight="false" outlineLevel="0" collapsed="false">
      <c r="A32" s="115" t="n">
        <f aca="false">EDATE(A31,1)</f>
        <v>37926</v>
      </c>
      <c r="B32" s="116" t="n">
        <f aca="false">'Inputs-Summary'!$B$7</f>
        <v>3017157.21662952</v>
      </c>
      <c r="C32" s="57"/>
      <c r="D32" s="117" t="n">
        <f aca="false">B32+C32</f>
        <v>3017157.21662952</v>
      </c>
      <c r="E32" s="106" t="n">
        <f aca="false">IF(Z32=0,0,IF(AND(Z32=1,$H$3=1),D32*U32,IF($H$3=2,D32,"N/A")))</f>
        <v>0</v>
      </c>
      <c r="F32" s="106" t="n">
        <f aca="false">E32*Y32</f>
        <v>0</v>
      </c>
      <c r="G32" s="118" t="n">
        <f aca="false">VLOOKUP($A32,Table,MATCH(G$4,Curves,0))</f>
        <v>3</v>
      </c>
      <c r="H32" s="119" t="n">
        <f aca="false">G32+$H$7</f>
        <v>3</v>
      </c>
      <c r="I32" s="118" t="n">
        <f aca="false">'Inputs-Summary'!$B$16</f>
        <v>1.85</v>
      </c>
      <c r="J32" s="118" t="n">
        <f aca="false">VLOOKUP($A32,Table,MATCH(J$4,Curves,0))</f>
        <v>5</v>
      </c>
      <c r="K32" s="119" t="n">
        <f aca="false">J32+$K$7</f>
        <v>5</v>
      </c>
      <c r="L32" s="120" t="n">
        <f aca="false">K32</f>
        <v>5</v>
      </c>
      <c r="M32" s="118" t="n">
        <f aca="false">VLOOKUP($A32,Table,MATCH(M$4,Curves,0))</f>
        <v>5</v>
      </c>
      <c r="N32" s="119" t="n">
        <f aca="false">M32+$N$7</f>
        <v>5</v>
      </c>
      <c r="O32" s="120" t="n">
        <f aca="false">N32</f>
        <v>5</v>
      </c>
      <c r="P32" s="109"/>
      <c r="Q32" s="120" t="n">
        <f aca="false">IF($F$3=1,M32+J32+G32,J32+G32)</f>
        <v>8</v>
      </c>
      <c r="R32" s="120" t="n">
        <f aca="false">IF($F$3=1,N32+K32+H32,K32+H32)</f>
        <v>8</v>
      </c>
      <c r="S32" s="120" t="n">
        <f aca="false">IF($F$3=1,O32+L32+I32,L32+I32)</f>
        <v>6.85</v>
      </c>
      <c r="T32" s="121"/>
      <c r="U32" s="67" t="n">
        <f aca="false">A33-A32</f>
        <v>30</v>
      </c>
      <c r="V32" s="122" t="n">
        <f aca="false">CHOOSE(F$3,A33+24,A32)</f>
        <v>37926</v>
      </c>
      <c r="W32" s="67" t="n">
        <f aca="false">V32-C$3</f>
        <v>-8000</v>
      </c>
      <c r="X32" s="118" t="n">
        <f aca="false">VLOOKUP($A32,Table,MATCH(X$4,Curves,0))</f>
        <v>2</v>
      </c>
      <c r="Y32" s="123" t="n">
        <f aca="false">1/(1+CHOOSE(F$3,(X33+($K$3/10000))/2,(X32+($K$3/10000))/2))^(2*W32/365.25)</f>
        <v>15374583845740.2</v>
      </c>
      <c r="Z32" s="67" t="n">
        <f aca="false">IF(AND(mthbeg&lt;=A32,mthend&gt;=A32),1,0)</f>
        <v>0</v>
      </c>
      <c r="AA32" s="67" t="n">
        <f aca="false">U32*Z32</f>
        <v>0</v>
      </c>
      <c r="AC32" s="110" t="n">
        <f aca="false">F32*(H32-I32)</f>
        <v>0</v>
      </c>
      <c r="AD32" s="49"/>
      <c r="AE32" s="124"/>
    </row>
    <row r="33" customFormat="false" ht="12.75" hidden="false" customHeight="false" outlineLevel="0" collapsed="false">
      <c r="A33" s="115" t="n">
        <f aca="false">EDATE(A32,1)</f>
        <v>37956</v>
      </c>
      <c r="B33" s="116" t="n">
        <f aca="false">'Inputs-Summary'!$B$7</f>
        <v>3017157.21662952</v>
      </c>
      <c r="C33" s="57"/>
      <c r="D33" s="117" t="n">
        <f aca="false">B33+C33</f>
        <v>3017157.21662952</v>
      </c>
      <c r="E33" s="106" t="n">
        <f aca="false">IF(Z33=0,0,IF(AND(Z33=1,$H$3=1),D33*U33,IF($H$3=2,D33,"N/A")))</f>
        <v>0</v>
      </c>
      <c r="F33" s="106" t="n">
        <f aca="false">E33*Y33</f>
        <v>0</v>
      </c>
      <c r="G33" s="118" t="n">
        <f aca="false">VLOOKUP($A33,Table,MATCH(G$4,Curves,0))</f>
        <v>3</v>
      </c>
      <c r="H33" s="119" t="n">
        <f aca="false">G33+$H$7</f>
        <v>3</v>
      </c>
      <c r="I33" s="118" t="n">
        <f aca="false">'Inputs-Summary'!$B$16</f>
        <v>1.85</v>
      </c>
      <c r="J33" s="118" t="n">
        <f aca="false">VLOOKUP($A33,Table,MATCH(J$4,Curves,0))</f>
        <v>5</v>
      </c>
      <c r="K33" s="119" t="n">
        <f aca="false">J33+$K$7</f>
        <v>5</v>
      </c>
      <c r="L33" s="120" t="n">
        <f aca="false">K33</f>
        <v>5</v>
      </c>
      <c r="M33" s="118" t="n">
        <f aca="false">VLOOKUP($A33,Table,MATCH(M$4,Curves,0))</f>
        <v>5</v>
      </c>
      <c r="N33" s="119" t="n">
        <f aca="false">M33+$N$7</f>
        <v>5</v>
      </c>
      <c r="O33" s="120" t="n">
        <f aca="false">N33</f>
        <v>5</v>
      </c>
      <c r="P33" s="109"/>
      <c r="Q33" s="120" t="n">
        <f aca="false">IF($F$3=1,M33+J33+G33,J33+G33)</f>
        <v>8</v>
      </c>
      <c r="R33" s="120" t="n">
        <f aca="false">IF($F$3=1,N33+K33+H33,K33+H33)</f>
        <v>8</v>
      </c>
      <c r="S33" s="120" t="n">
        <f aca="false">IF($F$3=1,O33+L33+I33,L33+I33)</f>
        <v>6.85</v>
      </c>
      <c r="T33" s="121"/>
      <c r="U33" s="67" t="n">
        <f aca="false">A34-A33</f>
        <v>31</v>
      </c>
      <c r="V33" s="122" t="n">
        <f aca="false">CHOOSE(F$3,A34+24,A33)</f>
        <v>37956</v>
      </c>
      <c r="W33" s="67" t="n">
        <f aca="false">V33-C$3</f>
        <v>-7970</v>
      </c>
      <c r="X33" s="118" t="n">
        <f aca="false">VLOOKUP($A33,Table,MATCH(X$4,Curves,0))</f>
        <v>2</v>
      </c>
      <c r="Y33" s="123" t="n">
        <f aca="false">1/(1+CHOOSE(F$3,(X34+($K$3/10000))/2,(X33+($K$3/10000))/2))^(2*W33/365.25)</f>
        <v>13719960360934.9</v>
      </c>
      <c r="Z33" s="67" t="n">
        <f aca="false">IF(AND(mthbeg&lt;=A33,mthend&gt;=A33),1,0)</f>
        <v>0</v>
      </c>
      <c r="AA33" s="67" t="n">
        <f aca="false">U33*Z33</f>
        <v>0</v>
      </c>
      <c r="AC33" s="110" t="n">
        <f aca="false">F33*(H33-I33)</f>
        <v>0</v>
      </c>
      <c r="AD33" s="49"/>
      <c r="AE33" s="124"/>
    </row>
    <row r="34" customFormat="false" ht="12.75" hidden="false" customHeight="false" outlineLevel="0" collapsed="false">
      <c r="A34" s="115" t="n">
        <f aca="false">EDATE(A33,1)</f>
        <v>37987</v>
      </c>
      <c r="B34" s="116" t="n">
        <f aca="false">'Inputs-Summary'!$B$7</f>
        <v>3017157.21662952</v>
      </c>
      <c r="C34" s="57"/>
      <c r="D34" s="117" t="n">
        <f aca="false">B34+C34</f>
        <v>3017157.21662952</v>
      </c>
      <c r="E34" s="106" t="n">
        <f aca="false">IF(Z34=0,0,IF(AND(Z34=1,$H$3=1),D34*U34,IF($H$3=2,D34,"N/A")))</f>
        <v>0</v>
      </c>
      <c r="F34" s="106" t="n">
        <f aca="false">E34*Y34</f>
        <v>0</v>
      </c>
      <c r="G34" s="118" t="n">
        <f aca="false">VLOOKUP($A34,Table,MATCH(G$4,Curves,0))</f>
        <v>3</v>
      </c>
      <c r="H34" s="119" t="n">
        <f aca="false">G34+$H$7</f>
        <v>3</v>
      </c>
      <c r="I34" s="118" t="n">
        <f aca="false">'Inputs-Summary'!$B$16</f>
        <v>1.85</v>
      </c>
      <c r="J34" s="118" t="n">
        <f aca="false">VLOOKUP($A34,Table,MATCH(J$4,Curves,0))</f>
        <v>5</v>
      </c>
      <c r="K34" s="119" t="n">
        <f aca="false">J34+$K$7</f>
        <v>5</v>
      </c>
      <c r="L34" s="120" t="n">
        <f aca="false">K34</f>
        <v>5</v>
      </c>
      <c r="M34" s="118" t="n">
        <f aca="false">VLOOKUP($A34,Table,MATCH(M$4,Curves,0))</f>
        <v>5</v>
      </c>
      <c r="N34" s="119" t="n">
        <f aca="false">M34+$N$7</f>
        <v>5</v>
      </c>
      <c r="O34" s="120" t="n">
        <f aca="false">N34</f>
        <v>5</v>
      </c>
      <c r="P34" s="109"/>
      <c r="Q34" s="120" t="n">
        <f aca="false">IF($F$3=1,M34+J34+G34,J34+G34)</f>
        <v>8</v>
      </c>
      <c r="R34" s="120" t="n">
        <f aca="false">IF($F$3=1,N34+K34+H34,K34+H34)</f>
        <v>8</v>
      </c>
      <c r="S34" s="120" t="n">
        <f aca="false">IF($F$3=1,O34+L34+I34,L34+I34)</f>
        <v>6.85</v>
      </c>
      <c r="T34" s="121"/>
      <c r="U34" s="67" t="n">
        <f aca="false">A35-A34</f>
        <v>31</v>
      </c>
      <c r="V34" s="122" t="n">
        <f aca="false">CHOOSE(F$3,A35+24,A34)</f>
        <v>37987</v>
      </c>
      <c r="W34" s="67" t="n">
        <f aca="false">V34-C$3</f>
        <v>-7939</v>
      </c>
      <c r="X34" s="118" t="n">
        <f aca="false">VLOOKUP($A34,Table,MATCH(X$4,Curves,0))</f>
        <v>2</v>
      </c>
      <c r="Y34" s="123" t="n">
        <f aca="false">1/(1+CHOOSE(F$3,(X35+($K$3/10000))/2,(X34+($K$3/10000))/2))^(2*W34/365.25)</f>
        <v>12197027235276.6</v>
      </c>
      <c r="Z34" s="67" t="n">
        <f aca="false">IF(AND(mthbeg&lt;=A34,mthend&gt;=A34),1,0)</f>
        <v>0</v>
      </c>
      <c r="AA34" s="67" t="n">
        <f aca="false">U34*Z34</f>
        <v>0</v>
      </c>
      <c r="AC34" s="110" t="n">
        <f aca="false">F34*(H34-I34)</f>
        <v>0</v>
      </c>
      <c r="AD34" s="49"/>
      <c r="AE34" s="124"/>
    </row>
    <row r="35" customFormat="false" ht="12.75" hidden="false" customHeight="false" outlineLevel="0" collapsed="false">
      <c r="A35" s="115" t="n">
        <f aca="false">EDATE(A34,1)</f>
        <v>38018</v>
      </c>
      <c r="B35" s="116" t="n">
        <f aca="false">'Inputs-Summary'!$B$7</f>
        <v>3017157.21662952</v>
      </c>
      <c r="C35" s="57"/>
      <c r="D35" s="117" t="n">
        <f aca="false">B35+C35</f>
        <v>3017157.21662952</v>
      </c>
      <c r="E35" s="106" t="n">
        <f aca="false">IF(Z35=0,0,IF(AND(Z35=1,$H$3=1),D35*U35,IF($H$3=2,D35,"N/A")))</f>
        <v>0</v>
      </c>
      <c r="F35" s="106" t="n">
        <f aca="false">E35*Y35</f>
        <v>0</v>
      </c>
      <c r="G35" s="118" t="n">
        <f aca="false">VLOOKUP($A35,Table,MATCH(G$4,Curves,0))</f>
        <v>3</v>
      </c>
      <c r="H35" s="119" t="n">
        <f aca="false">G35+$H$7</f>
        <v>3</v>
      </c>
      <c r="I35" s="118" t="n">
        <f aca="false">'Inputs-Summary'!$B$16</f>
        <v>1.85</v>
      </c>
      <c r="J35" s="118" t="n">
        <f aca="false">VLOOKUP($A35,Table,MATCH(J$4,Curves,0))</f>
        <v>5</v>
      </c>
      <c r="K35" s="119" t="n">
        <f aca="false">J35+$K$7</f>
        <v>5</v>
      </c>
      <c r="L35" s="120" t="n">
        <f aca="false">K35</f>
        <v>5</v>
      </c>
      <c r="M35" s="118" t="n">
        <f aca="false">VLOOKUP($A35,Table,MATCH(M$4,Curves,0))</f>
        <v>5</v>
      </c>
      <c r="N35" s="119" t="n">
        <f aca="false">M35+$N$7</f>
        <v>5</v>
      </c>
      <c r="O35" s="120" t="n">
        <f aca="false">N35</f>
        <v>5</v>
      </c>
      <c r="P35" s="109"/>
      <c r="Q35" s="120" t="n">
        <f aca="false">IF($F$3=1,M35+J35+G35,J35+G35)</f>
        <v>8</v>
      </c>
      <c r="R35" s="120" t="n">
        <f aca="false">IF($F$3=1,N35+K35+H35,K35+H35)</f>
        <v>8</v>
      </c>
      <c r="S35" s="120" t="n">
        <f aca="false">IF($F$3=1,O35+L35+I35,L35+I35)</f>
        <v>6.85</v>
      </c>
      <c r="T35" s="121"/>
      <c r="U35" s="67" t="n">
        <f aca="false">A36-A35</f>
        <v>29</v>
      </c>
      <c r="V35" s="122" t="n">
        <f aca="false">CHOOSE(F$3,A36+24,A35)</f>
        <v>38018</v>
      </c>
      <c r="W35" s="67" t="n">
        <f aca="false">V35-C$3</f>
        <v>-7908</v>
      </c>
      <c r="X35" s="118" t="n">
        <f aca="false">VLOOKUP($A35,Table,MATCH(X$4,Curves,0))</f>
        <v>2</v>
      </c>
      <c r="Y35" s="123" t="n">
        <f aca="false">1/(1+CHOOSE(F$3,(X36+($K$3/10000))/2,(X35+($K$3/10000))/2))^(2*W35/365.25)</f>
        <v>10843141631929.8</v>
      </c>
      <c r="Z35" s="67" t="n">
        <f aca="false">IF(AND(mthbeg&lt;=A35,mthend&gt;=A35),1,0)</f>
        <v>0</v>
      </c>
      <c r="AA35" s="67" t="n">
        <f aca="false">U35*Z35</f>
        <v>0</v>
      </c>
      <c r="AC35" s="110" t="n">
        <f aca="false">F35*(H35-I35)</f>
        <v>0</v>
      </c>
      <c r="AD35" s="49"/>
      <c r="AE35" s="124"/>
    </row>
    <row r="36" customFormat="false" ht="12.75" hidden="false" customHeight="false" outlineLevel="0" collapsed="false">
      <c r="A36" s="115" t="n">
        <f aca="false">EDATE(A35,1)</f>
        <v>38047</v>
      </c>
      <c r="B36" s="116" t="n">
        <f aca="false">'Inputs-Summary'!$B$7</f>
        <v>3017157.21662952</v>
      </c>
      <c r="C36" s="57"/>
      <c r="D36" s="117" t="n">
        <f aca="false">B36+C36</f>
        <v>3017157.21662952</v>
      </c>
      <c r="E36" s="106" t="n">
        <f aca="false">IF(Z36=0,0,IF(AND(Z36=1,$H$3=1),D36*U36,IF($H$3=2,D36,"N/A")))</f>
        <v>0</v>
      </c>
      <c r="F36" s="106" t="n">
        <f aca="false">E36*Y36</f>
        <v>0</v>
      </c>
      <c r="G36" s="118" t="n">
        <f aca="false">VLOOKUP($A36,Table,MATCH(G$4,Curves,0))</f>
        <v>3</v>
      </c>
      <c r="H36" s="119" t="n">
        <f aca="false">G36+$H$7</f>
        <v>3</v>
      </c>
      <c r="I36" s="118" t="n">
        <f aca="false">'Inputs-Summary'!$B$16</f>
        <v>1.85</v>
      </c>
      <c r="J36" s="118" t="n">
        <f aca="false">VLOOKUP($A36,Table,MATCH(J$4,Curves,0))</f>
        <v>5</v>
      </c>
      <c r="K36" s="119" t="n">
        <f aca="false">J36+$K$7</f>
        <v>5</v>
      </c>
      <c r="L36" s="120" t="n">
        <f aca="false">K36</f>
        <v>5</v>
      </c>
      <c r="M36" s="118" t="n">
        <f aca="false">VLOOKUP($A36,Table,MATCH(M$4,Curves,0))</f>
        <v>5</v>
      </c>
      <c r="N36" s="119" t="n">
        <f aca="false">M36+$N$7</f>
        <v>5</v>
      </c>
      <c r="O36" s="120" t="n">
        <f aca="false">N36</f>
        <v>5</v>
      </c>
      <c r="P36" s="109"/>
      <c r="Q36" s="120" t="n">
        <f aca="false">IF($F$3=1,M36+J36+G36,J36+G36)</f>
        <v>8</v>
      </c>
      <c r="R36" s="120" t="n">
        <f aca="false">IF($F$3=1,N36+K36+H36,K36+H36)</f>
        <v>8</v>
      </c>
      <c r="S36" s="120" t="n">
        <f aca="false">IF($F$3=1,O36+L36+I36,L36+I36)</f>
        <v>6.85</v>
      </c>
      <c r="T36" s="121"/>
      <c r="U36" s="67" t="n">
        <f aca="false">A37-A36</f>
        <v>31</v>
      </c>
      <c r="V36" s="122" t="n">
        <f aca="false">CHOOSE(F$3,A37+24,A36)</f>
        <v>38047</v>
      </c>
      <c r="W36" s="67" t="n">
        <f aca="false">V36-C$3</f>
        <v>-7879</v>
      </c>
      <c r="X36" s="118" t="n">
        <f aca="false">VLOOKUP($A36,Table,MATCH(X$4,Curves,0))</f>
        <v>2</v>
      </c>
      <c r="Y36" s="123" t="n">
        <f aca="false">1/(1+CHOOSE(F$3,(X37+($K$3/10000))/2,(X36+($K$3/10000))/2))^(2*W36/365.25)</f>
        <v>9712990597042.46</v>
      </c>
      <c r="Z36" s="67" t="n">
        <f aca="false">IF(AND(mthbeg&lt;=A36,mthend&gt;=A36),1,0)</f>
        <v>0</v>
      </c>
      <c r="AA36" s="67" t="n">
        <f aca="false">U36*Z36</f>
        <v>0</v>
      </c>
      <c r="AC36" s="110" t="n">
        <f aca="false">F36*(H36-I36)</f>
        <v>0</v>
      </c>
      <c r="AD36" s="49"/>
      <c r="AE36" s="124"/>
    </row>
    <row r="37" customFormat="false" ht="12.75" hidden="false" customHeight="false" outlineLevel="0" collapsed="false">
      <c r="A37" s="115" t="n">
        <f aca="false">EDATE(A36,1)</f>
        <v>38078</v>
      </c>
      <c r="B37" s="116" t="n">
        <f aca="false">'Inputs-Summary'!$B$7</f>
        <v>3017157.21662952</v>
      </c>
      <c r="C37" s="57"/>
      <c r="D37" s="117" t="n">
        <f aca="false">B37+C37</f>
        <v>3017157.21662952</v>
      </c>
      <c r="E37" s="106" t="n">
        <f aca="false">IF(Z37=0,0,IF(AND(Z37=1,$H$3=1),D37*U37,IF($H$3=2,D37,"N/A")))</f>
        <v>0</v>
      </c>
      <c r="F37" s="106" t="n">
        <f aca="false">E37*Y37</f>
        <v>0</v>
      </c>
      <c r="G37" s="118" t="n">
        <f aca="false">VLOOKUP($A37,Table,MATCH(G$4,Curves,0))</f>
        <v>3</v>
      </c>
      <c r="H37" s="119" t="n">
        <f aca="false">G37+$H$7</f>
        <v>3</v>
      </c>
      <c r="I37" s="118" t="n">
        <f aca="false">'Inputs-Summary'!$B$16</f>
        <v>1.85</v>
      </c>
      <c r="J37" s="118" t="n">
        <f aca="false">VLOOKUP($A37,Table,MATCH(J$4,Curves,0))</f>
        <v>5</v>
      </c>
      <c r="K37" s="119" t="n">
        <f aca="false">J37+$K$7</f>
        <v>5</v>
      </c>
      <c r="L37" s="120" t="n">
        <f aca="false">K37</f>
        <v>5</v>
      </c>
      <c r="M37" s="118" t="n">
        <f aca="false">VLOOKUP($A37,Table,MATCH(M$4,Curves,0))</f>
        <v>5</v>
      </c>
      <c r="N37" s="119" t="n">
        <f aca="false">M37+$N$7</f>
        <v>5</v>
      </c>
      <c r="O37" s="120" t="n">
        <f aca="false">N37</f>
        <v>5</v>
      </c>
      <c r="P37" s="109"/>
      <c r="Q37" s="120" t="n">
        <f aca="false">IF($F$3=1,M37+J37+G37,J37+G37)</f>
        <v>8</v>
      </c>
      <c r="R37" s="120" t="n">
        <f aca="false">IF($F$3=1,N37+K37+H37,K37+H37)</f>
        <v>8</v>
      </c>
      <c r="S37" s="120" t="n">
        <f aca="false">IF($F$3=1,O37+L37+I37,L37+I37)</f>
        <v>6.85</v>
      </c>
      <c r="T37" s="121"/>
      <c r="U37" s="67" t="n">
        <f aca="false">A38-A37</f>
        <v>30</v>
      </c>
      <c r="V37" s="122" t="n">
        <f aca="false">CHOOSE(F$3,A38+24,A37)</f>
        <v>38078</v>
      </c>
      <c r="W37" s="67" t="n">
        <f aca="false">V37-C$3</f>
        <v>-7848</v>
      </c>
      <c r="X37" s="118" t="n">
        <f aca="false">VLOOKUP($A37,Table,MATCH(X$4,Curves,0))</f>
        <v>2</v>
      </c>
      <c r="Y37" s="123" t="n">
        <f aca="false">1/(1+CHOOSE(F$3,(X38+($K$3/10000))/2,(X37+($K$3/10000))/2))^(2*W37/365.25)</f>
        <v>8634836233596.87</v>
      </c>
      <c r="Z37" s="67" t="n">
        <f aca="false">IF(AND(mthbeg&lt;=A37,mthend&gt;=A37),1,0)</f>
        <v>0</v>
      </c>
      <c r="AA37" s="67" t="n">
        <f aca="false">U37*Z37</f>
        <v>0</v>
      </c>
      <c r="AC37" s="110" t="n">
        <f aca="false">F37*(H37-I37)</f>
        <v>0</v>
      </c>
      <c r="AD37" s="49"/>
      <c r="AE37" s="124"/>
    </row>
    <row r="38" customFormat="false" ht="12.75" hidden="false" customHeight="false" outlineLevel="0" collapsed="false">
      <c r="A38" s="115" t="n">
        <f aca="false">EDATE(A37,1)</f>
        <v>38108</v>
      </c>
      <c r="B38" s="116" t="n">
        <f aca="false">'Inputs-Summary'!$B$7</f>
        <v>3017157.21662952</v>
      </c>
      <c r="C38" s="57"/>
      <c r="D38" s="117" t="n">
        <f aca="false">B38+C38</f>
        <v>3017157.21662952</v>
      </c>
      <c r="E38" s="106" t="n">
        <f aca="false">IF(Z38=0,0,IF(AND(Z38=1,$H$3=1),D38*U38,IF($H$3=2,D38,"N/A")))</f>
        <v>0</v>
      </c>
      <c r="F38" s="106" t="n">
        <f aca="false">E38*Y38</f>
        <v>0</v>
      </c>
      <c r="G38" s="118" t="n">
        <f aca="false">VLOOKUP($A38,Table,MATCH(G$4,Curves,0))</f>
        <v>3</v>
      </c>
      <c r="H38" s="119" t="n">
        <f aca="false">G38+$H$7</f>
        <v>3</v>
      </c>
      <c r="I38" s="118" t="n">
        <f aca="false">'Inputs-Summary'!$B$16</f>
        <v>1.85</v>
      </c>
      <c r="J38" s="118" t="n">
        <f aca="false">VLOOKUP($A38,Table,MATCH(J$4,Curves,0))</f>
        <v>5</v>
      </c>
      <c r="K38" s="119" t="n">
        <f aca="false">J38+$K$7</f>
        <v>5</v>
      </c>
      <c r="L38" s="120" t="n">
        <f aca="false">K38</f>
        <v>5</v>
      </c>
      <c r="M38" s="118" t="n">
        <f aca="false">VLOOKUP($A38,Table,MATCH(M$4,Curves,0))</f>
        <v>5</v>
      </c>
      <c r="N38" s="119" t="n">
        <f aca="false">M38+$N$7</f>
        <v>5</v>
      </c>
      <c r="O38" s="120" t="n">
        <f aca="false">N38</f>
        <v>5</v>
      </c>
      <c r="P38" s="109"/>
      <c r="Q38" s="120" t="n">
        <f aca="false">IF($F$3=1,M38+J38+G38,J38+G38)</f>
        <v>8</v>
      </c>
      <c r="R38" s="120" t="n">
        <f aca="false">IF($F$3=1,N38+K38+H38,K38+H38)</f>
        <v>8</v>
      </c>
      <c r="S38" s="120" t="n">
        <f aca="false">IF($F$3=1,O38+L38+I38,L38+I38)</f>
        <v>6.85</v>
      </c>
      <c r="T38" s="121"/>
      <c r="U38" s="67" t="n">
        <f aca="false">A39-A38</f>
        <v>31</v>
      </c>
      <c r="V38" s="122" t="n">
        <f aca="false">CHOOSE(F$3,A39+24,A38)</f>
        <v>38108</v>
      </c>
      <c r="W38" s="67" t="n">
        <f aca="false">V38-C$3</f>
        <v>-7818</v>
      </c>
      <c r="X38" s="118" t="n">
        <f aca="false">VLOOKUP($A38,Table,MATCH(X$4,Curves,0))</f>
        <v>2</v>
      </c>
      <c r="Y38" s="123" t="n">
        <f aca="false">1/(1+CHOOSE(F$3,(X39+($K$3/10000))/2,(X38+($K$3/10000))/2))^(2*W38/365.25)</f>
        <v>7705549108630.77</v>
      </c>
      <c r="Z38" s="67" t="n">
        <f aca="false">IF(AND(mthbeg&lt;=A38,mthend&gt;=A38),1,0)</f>
        <v>0</v>
      </c>
      <c r="AA38" s="67" t="n">
        <f aca="false">U38*Z38</f>
        <v>0</v>
      </c>
      <c r="AC38" s="110" t="n">
        <f aca="false">F38*(H38-I38)</f>
        <v>0</v>
      </c>
      <c r="AD38" s="49"/>
      <c r="AE38" s="124"/>
    </row>
    <row r="39" customFormat="false" ht="12.75" hidden="false" customHeight="false" outlineLevel="0" collapsed="false">
      <c r="A39" s="115" t="n">
        <f aca="false">EDATE(A38,1)</f>
        <v>38139</v>
      </c>
      <c r="B39" s="116" t="n">
        <f aca="false">'Inputs-Summary'!$B$7</f>
        <v>3017157.21662952</v>
      </c>
      <c r="C39" s="57"/>
      <c r="D39" s="117" t="n">
        <f aca="false">B39+C39</f>
        <v>3017157.21662952</v>
      </c>
      <c r="E39" s="106" t="n">
        <f aca="false">IF(Z39=0,0,IF(AND(Z39=1,$H$3=1),D39*U39,IF($H$3=2,D39,"N/A")))</f>
        <v>0</v>
      </c>
      <c r="F39" s="106" t="n">
        <f aca="false">E39*Y39</f>
        <v>0</v>
      </c>
      <c r="G39" s="118" t="n">
        <f aca="false">VLOOKUP($A39,Table,MATCH(G$4,Curves,0))</f>
        <v>3</v>
      </c>
      <c r="H39" s="119" t="n">
        <f aca="false">G39+$H$7</f>
        <v>3</v>
      </c>
      <c r="I39" s="118" t="n">
        <f aca="false">'Inputs-Summary'!$B$16</f>
        <v>1.85</v>
      </c>
      <c r="J39" s="118" t="n">
        <f aca="false">VLOOKUP($A39,Table,MATCH(J$4,Curves,0))</f>
        <v>5</v>
      </c>
      <c r="K39" s="119" t="n">
        <f aca="false">J39+$K$7</f>
        <v>5</v>
      </c>
      <c r="L39" s="120" t="n">
        <f aca="false">K39</f>
        <v>5</v>
      </c>
      <c r="M39" s="118" t="n">
        <f aca="false">VLOOKUP($A39,Table,MATCH(M$4,Curves,0))</f>
        <v>5</v>
      </c>
      <c r="N39" s="119" t="n">
        <f aca="false">M39+$N$7</f>
        <v>5</v>
      </c>
      <c r="O39" s="120" t="n">
        <f aca="false">N39</f>
        <v>5</v>
      </c>
      <c r="P39" s="109"/>
      <c r="Q39" s="120" t="n">
        <f aca="false">IF($F$3=1,M39+J39+G39,J39+G39)</f>
        <v>8</v>
      </c>
      <c r="R39" s="120" t="n">
        <f aca="false">IF($F$3=1,N39+K39+H39,K39+H39)</f>
        <v>8</v>
      </c>
      <c r="S39" s="120" t="n">
        <f aca="false">IF($F$3=1,O39+L39+I39,L39+I39)</f>
        <v>6.85</v>
      </c>
      <c r="T39" s="121"/>
      <c r="U39" s="67" t="n">
        <f aca="false">A40-A39</f>
        <v>30</v>
      </c>
      <c r="V39" s="122" t="n">
        <f aca="false">CHOOSE(F$3,A40+24,A39)</f>
        <v>38139</v>
      </c>
      <c r="W39" s="67" t="n">
        <f aca="false">V39-C$3</f>
        <v>-7787</v>
      </c>
      <c r="X39" s="118" t="n">
        <f aca="false">VLOOKUP($A39,Table,MATCH(X$4,Curves,0))</f>
        <v>2</v>
      </c>
      <c r="Y39" s="123" t="n">
        <f aca="false">1/(1+CHOOSE(F$3,(X40+($K$3/10000))/2,(X39+($K$3/10000))/2))^(2*W39/365.25)</f>
        <v>6850223314663.23</v>
      </c>
      <c r="Z39" s="67" t="n">
        <f aca="false">IF(AND(mthbeg&lt;=A39,mthend&gt;=A39),1,0)</f>
        <v>0</v>
      </c>
      <c r="AA39" s="67" t="n">
        <f aca="false">U39*Z39</f>
        <v>0</v>
      </c>
      <c r="AC39" s="110" t="n">
        <f aca="false">F39*(H39-I39)</f>
        <v>0</v>
      </c>
      <c r="AD39" s="49"/>
      <c r="AE39" s="124"/>
    </row>
    <row r="40" customFormat="false" ht="12.75" hidden="false" customHeight="false" outlineLevel="0" collapsed="false">
      <c r="A40" s="115" t="n">
        <f aca="false">EDATE(A39,1)</f>
        <v>38169</v>
      </c>
      <c r="B40" s="116" t="n">
        <f aca="false">'Inputs-Summary'!$B$7</f>
        <v>3017157.21662952</v>
      </c>
      <c r="C40" s="57"/>
      <c r="D40" s="117" t="n">
        <f aca="false">B40+C40</f>
        <v>3017157.21662952</v>
      </c>
      <c r="E40" s="106" t="n">
        <f aca="false">IF(Z40=0,0,IF(AND(Z40=1,$H$3=1),D40*U40,IF($H$3=2,D40,"N/A")))</f>
        <v>0</v>
      </c>
      <c r="F40" s="106" t="n">
        <f aca="false">E40*Y40</f>
        <v>0</v>
      </c>
      <c r="G40" s="118" t="n">
        <f aca="false">VLOOKUP($A40,Table,MATCH(G$4,Curves,0))</f>
        <v>3</v>
      </c>
      <c r="H40" s="119" t="n">
        <f aca="false">G40+$H$7</f>
        <v>3</v>
      </c>
      <c r="I40" s="118" t="n">
        <f aca="false">'Inputs-Summary'!$B$16</f>
        <v>1.85</v>
      </c>
      <c r="J40" s="118" t="n">
        <f aca="false">VLOOKUP($A40,Table,MATCH(J$4,Curves,0))</f>
        <v>5</v>
      </c>
      <c r="K40" s="119" t="n">
        <f aca="false">J40+$K$7</f>
        <v>5</v>
      </c>
      <c r="L40" s="120" t="n">
        <f aca="false">K40</f>
        <v>5</v>
      </c>
      <c r="M40" s="118" t="n">
        <f aca="false">VLOOKUP($A40,Table,MATCH(M$4,Curves,0))</f>
        <v>5</v>
      </c>
      <c r="N40" s="119" t="n">
        <f aca="false">M40+$N$7</f>
        <v>5</v>
      </c>
      <c r="O40" s="120" t="n">
        <f aca="false">N40</f>
        <v>5</v>
      </c>
      <c r="P40" s="109"/>
      <c r="Q40" s="120" t="n">
        <f aca="false">IF($F$3=1,M40+J40+G40,J40+G40)</f>
        <v>8</v>
      </c>
      <c r="R40" s="120" t="n">
        <f aca="false">IF($F$3=1,N40+K40+H40,K40+H40)</f>
        <v>8</v>
      </c>
      <c r="S40" s="120" t="n">
        <f aca="false">IF($F$3=1,O40+L40+I40,L40+I40)</f>
        <v>6.85</v>
      </c>
      <c r="T40" s="121"/>
      <c r="U40" s="67" t="n">
        <f aca="false">A41-A40</f>
        <v>31</v>
      </c>
      <c r="V40" s="122" t="n">
        <f aca="false">CHOOSE(F$3,A41+24,A40)</f>
        <v>38169</v>
      </c>
      <c r="W40" s="67" t="n">
        <f aca="false">V40-C$3</f>
        <v>-7757</v>
      </c>
      <c r="X40" s="118" t="n">
        <f aca="false">VLOOKUP($A40,Table,MATCH(X$4,Curves,0))</f>
        <v>2</v>
      </c>
      <c r="Y40" s="123" t="n">
        <f aca="false">1/(1+CHOOSE(F$3,(X41+($K$3/10000))/2,(X40+($K$3/10000))/2))^(2*W40/365.25)</f>
        <v>6112997482320.21</v>
      </c>
      <c r="Z40" s="67" t="n">
        <f aca="false">IF(AND(mthbeg&lt;=A40,mthend&gt;=A40),1,0)</f>
        <v>0</v>
      </c>
      <c r="AA40" s="67" t="n">
        <f aca="false">U40*Z40</f>
        <v>0</v>
      </c>
      <c r="AC40" s="110" t="n">
        <f aca="false">F40*(H40-I40)</f>
        <v>0</v>
      </c>
      <c r="AD40" s="49"/>
      <c r="AE40" s="124"/>
    </row>
    <row r="41" customFormat="false" ht="12.75" hidden="false" customHeight="false" outlineLevel="0" collapsed="false">
      <c r="A41" s="115" t="n">
        <f aca="false">EDATE(A40,1)</f>
        <v>38200</v>
      </c>
      <c r="B41" s="116" t="n">
        <f aca="false">'Inputs-Summary'!$B$7</f>
        <v>3017157.21662952</v>
      </c>
      <c r="C41" s="57"/>
      <c r="D41" s="117" t="n">
        <f aca="false">B41+C41</f>
        <v>3017157.21662952</v>
      </c>
      <c r="E41" s="106" t="n">
        <f aca="false">IF(Z41=0,0,IF(AND(Z41=1,$H$3=1),D41*U41,IF($H$3=2,D41,"N/A")))</f>
        <v>0</v>
      </c>
      <c r="F41" s="106" t="n">
        <f aca="false">E41*Y41</f>
        <v>0</v>
      </c>
      <c r="G41" s="118" t="n">
        <f aca="false">VLOOKUP($A41,Table,MATCH(G$4,Curves,0))</f>
        <v>3</v>
      </c>
      <c r="H41" s="119" t="n">
        <f aca="false">G41+$H$7</f>
        <v>3</v>
      </c>
      <c r="I41" s="118" t="n">
        <f aca="false">'Inputs-Summary'!$B$16</f>
        <v>1.85</v>
      </c>
      <c r="J41" s="118" t="n">
        <f aca="false">VLOOKUP($A41,Table,MATCH(J$4,Curves,0))</f>
        <v>5</v>
      </c>
      <c r="K41" s="119" t="n">
        <f aca="false">J41+$K$7</f>
        <v>5</v>
      </c>
      <c r="L41" s="120" t="n">
        <f aca="false">K41</f>
        <v>5</v>
      </c>
      <c r="M41" s="118" t="n">
        <f aca="false">VLOOKUP($A41,Table,MATCH(M$4,Curves,0))</f>
        <v>5</v>
      </c>
      <c r="N41" s="119" t="n">
        <f aca="false">M41+$N$7</f>
        <v>5</v>
      </c>
      <c r="O41" s="120" t="n">
        <f aca="false">N41</f>
        <v>5</v>
      </c>
      <c r="P41" s="109"/>
      <c r="Q41" s="120" t="n">
        <f aca="false">IF($F$3=1,M41+J41+G41,J41+G41)</f>
        <v>8</v>
      </c>
      <c r="R41" s="120" t="n">
        <f aca="false">IF($F$3=1,N41+K41+H41,K41+H41)</f>
        <v>8</v>
      </c>
      <c r="S41" s="120" t="n">
        <f aca="false">IF($F$3=1,O41+L41+I41,L41+I41)</f>
        <v>6.85</v>
      </c>
      <c r="T41" s="121"/>
      <c r="U41" s="67" t="n">
        <f aca="false">A42-A41</f>
        <v>31</v>
      </c>
      <c r="V41" s="122" t="n">
        <f aca="false">CHOOSE(F$3,A42+24,A41)</f>
        <v>38200</v>
      </c>
      <c r="W41" s="67" t="n">
        <f aca="false">V41-C$3</f>
        <v>-7726</v>
      </c>
      <c r="X41" s="118" t="n">
        <f aca="false">VLOOKUP($A41,Table,MATCH(X$4,Curves,0))</f>
        <v>2</v>
      </c>
      <c r="Y41" s="123" t="n">
        <f aca="false">1/(1+CHOOSE(F$3,(X42+($K$3/10000))/2,(X41+($K$3/10000))/2))^(2*W41/365.25)</f>
        <v>5434446953165.75</v>
      </c>
      <c r="Z41" s="67" t="n">
        <f aca="false">IF(AND(mthbeg&lt;=A41,mthend&gt;=A41),1,0)</f>
        <v>0</v>
      </c>
      <c r="AA41" s="67" t="n">
        <f aca="false">U41*Z41</f>
        <v>0</v>
      </c>
      <c r="AC41" s="110" t="n">
        <f aca="false">F41*(H41-I41)</f>
        <v>0</v>
      </c>
      <c r="AD41" s="49"/>
      <c r="AE41" s="124"/>
    </row>
    <row r="42" customFormat="false" ht="12.75" hidden="false" customHeight="false" outlineLevel="0" collapsed="false">
      <c r="A42" s="115" t="n">
        <f aca="false">EDATE(A41,1)</f>
        <v>38231</v>
      </c>
      <c r="B42" s="116" t="n">
        <f aca="false">'Inputs-Summary'!$B$7</f>
        <v>3017157.21662952</v>
      </c>
      <c r="C42" s="57"/>
      <c r="D42" s="117" t="n">
        <f aca="false">B42+C42</f>
        <v>3017157.21662952</v>
      </c>
      <c r="E42" s="106" t="n">
        <f aca="false">IF(Z42=0,0,IF(AND(Z42=1,$H$3=1),D42*U42,IF($H$3=2,D42,"N/A")))</f>
        <v>0</v>
      </c>
      <c r="F42" s="106" t="n">
        <f aca="false">E42*Y42</f>
        <v>0</v>
      </c>
      <c r="G42" s="118" t="n">
        <f aca="false">VLOOKUP($A42,Table,MATCH(G$4,Curves,0))</f>
        <v>3</v>
      </c>
      <c r="H42" s="119" t="n">
        <f aca="false">G42+$H$7</f>
        <v>3</v>
      </c>
      <c r="I42" s="118" t="n">
        <f aca="false">'Inputs-Summary'!$B$16</f>
        <v>1.85</v>
      </c>
      <c r="J42" s="118" t="n">
        <f aca="false">VLOOKUP($A42,Table,MATCH(J$4,Curves,0))</f>
        <v>5</v>
      </c>
      <c r="K42" s="119" t="n">
        <f aca="false">J42+$K$7</f>
        <v>5</v>
      </c>
      <c r="L42" s="120" t="n">
        <f aca="false">K42</f>
        <v>5</v>
      </c>
      <c r="M42" s="118" t="n">
        <f aca="false">VLOOKUP($A42,Table,MATCH(M$4,Curves,0))</f>
        <v>5</v>
      </c>
      <c r="N42" s="119" t="n">
        <f aca="false">M42+$N$7</f>
        <v>5</v>
      </c>
      <c r="O42" s="120" t="n">
        <f aca="false">N42</f>
        <v>5</v>
      </c>
      <c r="P42" s="109"/>
      <c r="Q42" s="120" t="n">
        <f aca="false">IF($F$3=1,M42+J42+G42,J42+G42)</f>
        <v>8</v>
      </c>
      <c r="R42" s="120" t="n">
        <f aca="false">IF($F$3=1,N42+K42+H42,K42+H42)</f>
        <v>8</v>
      </c>
      <c r="S42" s="120" t="n">
        <f aca="false">IF($F$3=1,O42+L42+I42,L42+I42)</f>
        <v>6.85</v>
      </c>
      <c r="T42" s="121"/>
      <c r="U42" s="67" t="n">
        <f aca="false">A43-A42</f>
        <v>30</v>
      </c>
      <c r="V42" s="122" t="n">
        <f aca="false">CHOOSE(F$3,A43+24,A42)</f>
        <v>38231</v>
      </c>
      <c r="W42" s="67" t="n">
        <f aca="false">V42-C$3</f>
        <v>-7695</v>
      </c>
      <c r="X42" s="118" t="n">
        <f aca="false">VLOOKUP($A42,Table,MATCH(X$4,Curves,0))</f>
        <v>2</v>
      </c>
      <c r="Y42" s="123" t="n">
        <f aca="false">1/(1+CHOOSE(F$3,(X43+($K$3/10000))/2,(X42+($K$3/10000))/2))^(2*W42/365.25)</f>
        <v>4831216399513.89</v>
      </c>
      <c r="Z42" s="67" t="n">
        <f aca="false">IF(AND(mthbeg&lt;=A42,mthend&gt;=A42),1,0)</f>
        <v>0</v>
      </c>
      <c r="AA42" s="67" t="n">
        <f aca="false">U42*Z42</f>
        <v>0</v>
      </c>
      <c r="AC42" s="110" t="n">
        <f aca="false">F42*(H42-I42)</f>
        <v>0</v>
      </c>
      <c r="AD42" s="49"/>
      <c r="AE42" s="124"/>
    </row>
    <row r="43" customFormat="false" ht="12.75" hidden="false" customHeight="false" outlineLevel="0" collapsed="false">
      <c r="A43" s="115" t="n">
        <f aca="false">EDATE(A42,1)</f>
        <v>38261</v>
      </c>
      <c r="B43" s="116" t="n">
        <f aca="false">'Inputs-Summary'!$B$7</f>
        <v>3017157.21662952</v>
      </c>
      <c r="C43" s="57"/>
      <c r="D43" s="117" t="n">
        <f aca="false">B43+C43</f>
        <v>3017157.21662952</v>
      </c>
      <c r="E43" s="106" t="n">
        <f aca="false">IF(Z43=0,0,IF(AND(Z43=1,$H$3=1),D43*U43,IF($H$3=2,D43,"N/A")))</f>
        <v>0</v>
      </c>
      <c r="F43" s="106" t="n">
        <f aca="false">E43*Y43</f>
        <v>0</v>
      </c>
      <c r="G43" s="118" t="n">
        <f aca="false">VLOOKUP($A43,Table,MATCH(G$4,Curves,0))</f>
        <v>3</v>
      </c>
      <c r="H43" s="119" t="n">
        <f aca="false">G43+$H$7</f>
        <v>3</v>
      </c>
      <c r="I43" s="118" t="n">
        <f aca="false">'Inputs-Summary'!$B$16</f>
        <v>1.85</v>
      </c>
      <c r="J43" s="118" t="n">
        <f aca="false">VLOOKUP($A43,Table,MATCH(J$4,Curves,0))</f>
        <v>5</v>
      </c>
      <c r="K43" s="119" t="n">
        <f aca="false">J43+$K$7</f>
        <v>5</v>
      </c>
      <c r="L43" s="120" t="n">
        <f aca="false">K43</f>
        <v>5</v>
      </c>
      <c r="M43" s="118" t="n">
        <f aca="false">VLOOKUP($A43,Table,MATCH(M$4,Curves,0))</f>
        <v>5</v>
      </c>
      <c r="N43" s="119" t="n">
        <f aca="false">M43+$N$7</f>
        <v>5</v>
      </c>
      <c r="O43" s="120" t="n">
        <f aca="false">N43</f>
        <v>5</v>
      </c>
      <c r="P43" s="109"/>
      <c r="Q43" s="120" t="n">
        <f aca="false">IF($F$3=1,M43+J43+G43,J43+G43)</f>
        <v>8</v>
      </c>
      <c r="R43" s="120" t="n">
        <f aca="false">IF($F$3=1,N43+K43+H43,K43+H43)</f>
        <v>8</v>
      </c>
      <c r="S43" s="120" t="n">
        <f aca="false">IF($F$3=1,O43+L43+I43,L43+I43)</f>
        <v>6.85</v>
      </c>
      <c r="T43" s="121"/>
      <c r="U43" s="67" t="n">
        <f aca="false">A44-A43</f>
        <v>31</v>
      </c>
      <c r="V43" s="122" t="n">
        <f aca="false">CHOOSE(F$3,A44+24,A43)</f>
        <v>38261</v>
      </c>
      <c r="W43" s="67" t="n">
        <f aca="false">V43-C$3</f>
        <v>-7665</v>
      </c>
      <c r="X43" s="118" t="n">
        <f aca="false">VLOOKUP($A43,Table,MATCH(X$4,Curves,0))</f>
        <v>2</v>
      </c>
      <c r="Y43" s="123" t="n">
        <f aca="false">1/(1+CHOOSE(F$3,(X44+($K$3/10000))/2,(X43+($K$3/10000))/2))^(2*W43/365.25)</f>
        <v>4311277505881.49</v>
      </c>
      <c r="Z43" s="67" t="n">
        <f aca="false">IF(AND(mthbeg&lt;=A43,mthend&gt;=A43),1,0)</f>
        <v>0</v>
      </c>
      <c r="AA43" s="67" t="n">
        <f aca="false">U43*Z43</f>
        <v>0</v>
      </c>
      <c r="AC43" s="110" t="n">
        <f aca="false">F43*(H43-I43)</f>
        <v>0</v>
      </c>
      <c r="AD43" s="49"/>
      <c r="AE43" s="124"/>
    </row>
    <row r="44" customFormat="false" ht="12.75" hidden="false" customHeight="false" outlineLevel="0" collapsed="false">
      <c r="A44" s="115" t="n">
        <f aca="false">EDATE(A43,1)</f>
        <v>38292</v>
      </c>
      <c r="B44" s="116" t="n">
        <f aca="false">'Inputs-Summary'!$B$7</f>
        <v>3017157.21662952</v>
      </c>
      <c r="C44" s="57"/>
      <c r="D44" s="117" t="n">
        <f aca="false">B44+C44</f>
        <v>3017157.21662952</v>
      </c>
      <c r="E44" s="106" t="n">
        <f aca="false">IF(Z44=0,0,IF(AND(Z44=1,$H$3=1),D44*U44,IF($H$3=2,D44,"N/A")))</f>
        <v>0</v>
      </c>
      <c r="F44" s="106" t="n">
        <f aca="false">E44*Y44</f>
        <v>0</v>
      </c>
      <c r="G44" s="118" t="n">
        <f aca="false">VLOOKUP($A44,Table,MATCH(G$4,Curves,0))</f>
        <v>3</v>
      </c>
      <c r="H44" s="119" t="n">
        <f aca="false">G44+$H$7</f>
        <v>3</v>
      </c>
      <c r="I44" s="118" t="n">
        <f aca="false">'Inputs-Summary'!$B$16</f>
        <v>1.85</v>
      </c>
      <c r="J44" s="118" t="n">
        <f aca="false">VLOOKUP($A44,Table,MATCH(J$4,Curves,0))</f>
        <v>5</v>
      </c>
      <c r="K44" s="119" t="n">
        <f aca="false">J44+$K$7</f>
        <v>5</v>
      </c>
      <c r="L44" s="120" t="n">
        <f aca="false">K44</f>
        <v>5</v>
      </c>
      <c r="M44" s="118" t="n">
        <f aca="false">VLOOKUP($A44,Table,MATCH(M$4,Curves,0))</f>
        <v>5</v>
      </c>
      <c r="N44" s="119" t="n">
        <f aca="false">M44+$N$7</f>
        <v>5</v>
      </c>
      <c r="O44" s="120" t="n">
        <f aca="false">N44</f>
        <v>5</v>
      </c>
      <c r="P44" s="109"/>
      <c r="Q44" s="120" t="n">
        <f aca="false">IF($F$3=1,M44+J44+G44,J44+G44)</f>
        <v>8</v>
      </c>
      <c r="R44" s="120" t="n">
        <f aca="false">IF($F$3=1,N44+K44+H44,K44+H44)</f>
        <v>8</v>
      </c>
      <c r="S44" s="120" t="n">
        <f aca="false">IF($F$3=1,O44+L44+I44,L44+I44)</f>
        <v>6.85</v>
      </c>
      <c r="T44" s="121"/>
      <c r="U44" s="67" t="n">
        <f aca="false">A45-A44</f>
        <v>30</v>
      </c>
      <c r="V44" s="122" t="n">
        <f aca="false">CHOOSE(F$3,A45+24,A44)</f>
        <v>38292</v>
      </c>
      <c r="W44" s="67" t="n">
        <f aca="false">V44-C$3</f>
        <v>-7634</v>
      </c>
      <c r="X44" s="118" t="n">
        <f aca="false">VLOOKUP($A44,Table,MATCH(X$4,Curves,0))</f>
        <v>2</v>
      </c>
      <c r="Y44" s="123" t="n">
        <f aca="false">1/(1+CHOOSE(F$3,(X45+($K$3/10000))/2,(X44+($K$3/10000))/2))^(2*W44/365.25)</f>
        <v>3832720195591.67</v>
      </c>
      <c r="Z44" s="67" t="n">
        <f aca="false">IF(AND(mthbeg&lt;=A44,mthend&gt;=A44),1,0)</f>
        <v>0</v>
      </c>
      <c r="AA44" s="67" t="n">
        <f aca="false">U44*Z44</f>
        <v>0</v>
      </c>
      <c r="AC44" s="110" t="n">
        <f aca="false">F44*(H44-I44)</f>
        <v>0</v>
      </c>
      <c r="AD44" s="49"/>
      <c r="AE44" s="124"/>
    </row>
    <row r="45" customFormat="false" ht="12.75" hidden="false" customHeight="false" outlineLevel="0" collapsed="false">
      <c r="A45" s="115" t="n">
        <f aca="false">EDATE(A44,1)</f>
        <v>38322</v>
      </c>
      <c r="B45" s="116" t="n">
        <f aca="false">'Inputs-Summary'!$B$7</f>
        <v>3017157.21662952</v>
      </c>
      <c r="C45" s="57"/>
      <c r="D45" s="117" t="n">
        <f aca="false">B45+C45</f>
        <v>3017157.21662952</v>
      </c>
      <c r="E45" s="106" t="n">
        <f aca="false">IF(Z45=0,0,IF(AND(Z45=1,$H$3=1),D45*U45,IF($H$3=2,D45,"N/A")))</f>
        <v>0</v>
      </c>
      <c r="F45" s="106" t="n">
        <f aca="false">E45*Y45</f>
        <v>0</v>
      </c>
      <c r="G45" s="118" t="n">
        <f aca="false">VLOOKUP($A45,Table,MATCH(G$4,Curves,0))</f>
        <v>3</v>
      </c>
      <c r="H45" s="119" t="n">
        <f aca="false">G45+$H$7</f>
        <v>3</v>
      </c>
      <c r="I45" s="118" t="n">
        <f aca="false">'Inputs-Summary'!$B$16</f>
        <v>1.85</v>
      </c>
      <c r="J45" s="118" t="n">
        <f aca="false">VLOOKUP($A45,Table,MATCH(J$4,Curves,0))</f>
        <v>5</v>
      </c>
      <c r="K45" s="119" t="n">
        <f aca="false">J45+$K$7</f>
        <v>5</v>
      </c>
      <c r="L45" s="120" t="n">
        <f aca="false">K45</f>
        <v>5</v>
      </c>
      <c r="M45" s="118" t="n">
        <f aca="false">VLOOKUP($A45,Table,MATCH(M$4,Curves,0))</f>
        <v>5</v>
      </c>
      <c r="N45" s="119" t="n">
        <f aca="false">M45+$N$7</f>
        <v>5</v>
      </c>
      <c r="O45" s="120" t="n">
        <f aca="false">N45</f>
        <v>5</v>
      </c>
      <c r="P45" s="109"/>
      <c r="Q45" s="120" t="n">
        <f aca="false">IF($F$3=1,M45+J45+G45,J45+G45)</f>
        <v>8</v>
      </c>
      <c r="R45" s="120" t="n">
        <f aca="false">IF($F$3=1,N45+K45+H45,K45+H45)</f>
        <v>8</v>
      </c>
      <c r="S45" s="120" t="n">
        <f aca="false">IF($F$3=1,O45+L45+I45,L45+I45)</f>
        <v>6.85</v>
      </c>
      <c r="T45" s="121"/>
      <c r="U45" s="67" t="n">
        <f aca="false">A46-A45</f>
        <v>31</v>
      </c>
      <c r="V45" s="122" t="n">
        <f aca="false">CHOOSE(F$3,A46+24,A45)</f>
        <v>38322</v>
      </c>
      <c r="W45" s="67" t="n">
        <f aca="false">V45-C$3</f>
        <v>-7604</v>
      </c>
      <c r="X45" s="118" t="n">
        <f aca="false">VLOOKUP($A45,Table,MATCH(X$4,Curves,0))</f>
        <v>2</v>
      </c>
      <c r="Y45" s="123" t="n">
        <f aca="false">1/(1+CHOOSE(F$3,(X46+($K$3/10000))/2,(X45+($K$3/10000))/2))^(2*W45/365.25)</f>
        <v>3420240162964.91</v>
      </c>
      <c r="Z45" s="67" t="n">
        <f aca="false">IF(AND(mthbeg&lt;=A45,mthend&gt;=A45),1,0)</f>
        <v>0</v>
      </c>
      <c r="AA45" s="67" t="n">
        <f aca="false">U45*Z45</f>
        <v>0</v>
      </c>
      <c r="AC45" s="110" t="n">
        <f aca="false">F45*(H45-I45)</f>
        <v>0</v>
      </c>
      <c r="AD45" s="49"/>
      <c r="AE45" s="124"/>
    </row>
    <row r="46" customFormat="false" ht="12.75" hidden="false" customHeight="false" outlineLevel="0" collapsed="false">
      <c r="A46" s="115" t="n">
        <f aca="false">EDATE(A45,1)</f>
        <v>38353</v>
      </c>
      <c r="B46" s="116" t="n">
        <f aca="false">'Inputs-Summary'!$B$7</f>
        <v>3017157.21662952</v>
      </c>
      <c r="C46" s="57"/>
      <c r="D46" s="117" t="n">
        <f aca="false">B46+C46</f>
        <v>3017157.21662952</v>
      </c>
      <c r="E46" s="106" t="n">
        <f aca="false">IF(Z46=0,0,IF(AND(Z46=1,$H$3=1),D46*U46,IF($H$3=2,D46,"N/A")))</f>
        <v>0</v>
      </c>
      <c r="F46" s="106" t="n">
        <f aca="false">E46*Y46</f>
        <v>0</v>
      </c>
      <c r="G46" s="118" t="n">
        <f aca="false">VLOOKUP($A46,Table,MATCH(G$4,Curves,0))</f>
        <v>3</v>
      </c>
      <c r="H46" s="119" t="n">
        <f aca="false">G46+$H$7</f>
        <v>3</v>
      </c>
      <c r="I46" s="118" t="n">
        <f aca="false">'Inputs-Summary'!$B$16</f>
        <v>1.85</v>
      </c>
      <c r="J46" s="118" t="n">
        <f aca="false">VLOOKUP($A46,Table,MATCH(J$4,Curves,0))</f>
        <v>5</v>
      </c>
      <c r="K46" s="119" t="n">
        <f aca="false">J46+$K$7</f>
        <v>5</v>
      </c>
      <c r="L46" s="120" t="n">
        <f aca="false">K46</f>
        <v>5</v>
      </c>
      <c r="M46" s="118" t="n">
        <f aca="false">VLOOKUP($A46,Table,MATCH(M$4,Curves,0))</f>
        <v>5</v>
      </c>
      <c r="N46" s="119" t="n">
        <f aca="false">M46+$N$7</f>
        <v>5</v>
      </c>
      <c r="O46" s="120" t="n">
        <f aca="false">N46</f>
        <v>5</v>
      </c>
      <c r="P46" s="109"/>
      <c r="Q46" s="120" t="n">
        <f aca="false">IF($F$3=1,M46+J46+G46,J46+G46)</f>
        <v>8</v>
      </c>
      <c r="R46" s="120" t="n">
        <f aca="false">IF($F$3=1,N46+K46+H46,K46+H46)</f>
        <v>8</v>
      </c>
      <c r="S46" s="120" t="n">
        <f aca="false">IF($F$3=1,O46+L46+I46,L46+I46)</f>
        <v>6.85</v>
      </c>
      <c r="T46" s="121"/>
      <c r="U46" s="67" t="n">
        <f aca="false">A47-A46</f>
        <v>31</v>
      </c>
      <c r="V46" s="122" t="n">
        <f aca="false">CHOOSE(F$3,A47+24,A46)</f>
        <v>38353</v>
      </c>
      <c r="W46" s="67" t="n">
        <f aca="false">V46-C$3</f>
        <v>-7573</v>
      </c>
      <c r="X46" s="118" t="n">
        <f aca="false">VLOOKUP($A46,Table,MATCH(X$4,Curves,0))</f>
        <v>2</v>
      </c>
      <c r="Y46" s="123" t="n">
        <f aca="false">1/(1+CHOOSE(F$3,(X47+($K$3/10000))/2,(X46+($K$3/10000))/2))^(2*W46/365.25)</f>
        <v>3040589135931.56</v>
      </c>
      <c r="Z46" s="67" t="n">
        <f aca="false">IF(AND(mthbeg&lt;=A46,mthend&gt;=A46),1,0)</f>
        <v>0</v>
      </c>
      <c r="AA46" s="67" t="n">
        <f aca="false">U46*Z46</f>
        <v>0</v>
      </c>
      <c r="AC46" s="110" t="n">
        <f aca="false">F46*(H46-I46)</f>
        <v>0</v>
      </c>
      <c r="AD46" s="49"/>
      <c r="AE46" s="124"/>
    </row>
    <row r="47" customFormat="false" ht="12.75" hidden="false" customHeight="false" outlineLevel="0" collapsed="false">
      <c r="A47" s="115" t="n">
        <f aca="false">EDATE(A46,1)</f>
        <v>38384</v>
      </c>
      <c r="B47" s="116" t="n">
        <f aca="false">'Inputs-Summary'!$B$7</f>
        <v>3017157.21662952</v>
      </c>
      <c r="C47" s="57"/>
      <c r="D47" s="117" t="n">
        <f aca="false">B47+C47</f>
        <v>3017157.21662952</v>
      </c>
      <c r="E47" s="106" t="n">
        <f aca="false">IF(Z47=0,0,IF(AND(Z47=1,$H$3=1),D47*U47,IF($H$3=2,D47,"N/A")))</f>
        <v>0</v>
      </c>
      <c r="F47" s="106" t="n">
        <f aca="false">E47*Y47</f>
        <v>0</v>
      </c>
      <c r="G47" s="118" t="n">
        <f aca="false">VLOOKUP($A47,Table,MATCH(G$4,Curves,0))</f>
        <v>3</v>
      </c>
      <c r="H47" s="119" t="n">
        <f aca="false">G47+$H$7</f>
        <v>3</v>
      </c>
      <c r="I47" s="118" t="n">
        <f aca="false">'Inputs-Summary'!$B$16</f>
        <v>1.85</v>
      </c>
      <c r="J47" s="118" t="n">
        <f aca="false">VLOOKUP($A47,Table,MATCH(J$4,Curves,0))</f>
        <v>5</v>
      </c>
      <c r="K47" s="119" t="n">
        <f aca="false">J47+$K$7</f>
        <v>5</v>
      </c>
      <c r="L47" s="120" t="n">
        <f aca="false">K47</f>
        <v>5</v>
      </c>
      <c r="M47" s="118" t="n">
        <f aca="false">VLOOKUP($A47,Table,MATCH(M$4,Curves,0))</f>
        <v>5</v>
      </c>
      <c r="N47" s="119" t="n">
        <f aca="false">M47+$N$7</f>
        <v>5</v>
      </c>
      <c r="O47" s="120" t="n">
        <f aca="false">N47</f>
        <v>5</v>
      </c>
      <c r="P47" s="109"/>
      <c r="Q47" s="120" t="n">
        <f aca="false">IF($F$3=1,M47+J47+G47,J47+G47)</f>
        <v>8</v>
      </c>
      <c r="R47" s="120" t="n">
        <f aca="false">IF($F$3=1,N47+K47+H47,K47+H47)</f>
        <v>8</v>
      </c>
      <c r="S47" s="120" t="n">
        <f aca="false">IF($F$3=1,O47+L47+I47,L47+I47)</f>
        <v>6.85</v>
      </c>
      <c r="T47" s="121"/>
      <c r="U47" s="67" t="n">
        <f aca="false">A48-A47</f>
        <v>28</v>
      </c>
      <c r="V47" s="122" t="n">
        <f aca="false">CHOOSE(F$3,A48+24,A47)</f>
        <v>38384</v>
      </c>
      <c r="W47" s="67" t="n">
        <f aca="false">V47-C$3</f>
        <v>-7542</v>
      </c>
      <c r="X47" s="118" t="n">
        <f aca="false">VLOOKUP($A47,Table,MATCH(X$4,Curves,0))</f>
        <v>2</v>
      </c>
      <c r="Y47" s="123" t="n">
        <f aca="false">1/(1+CHOOSE(F$3,(X48+($K$3/10000))/2,(X47+($K$3/10000))/2))^(2*W47/365.25)</f>
        <v>2703079857857.28</v>
      </c>
      <c r="Z47" s="67" t="n">
        <f aca="false">IF(AND(mthbeg&lt;=A47,mthend&gt;=A47),1,0)</f>
        <v>0</v>
      </c>
      <c r="AA47" s="67" t="n">
        <f aca="false">U47*Z47</f>
        <v>0</v>
      </c>
      <c r="AC47" s="110" t="n">
        <f aca="false">F47*(H47-I47)</f>
        <v>0</v>
      </c>
      <c r="AD47" s="49"/>
      <c r="AE47" s="124"/>
    </row>
    <row r="48" customFormat="false" ht="12.75" hidden="false" customHeight="false" outlineLevel="0" collapsed="false">
      <c r="A48" s="115" t="n">
        <f aca="false">EDATE(A47,1)</f>
        <v>38412</v>
      </c>
      <c r="B48" s="116" t="n">
        <f aca="false">'Inputs-Summary'!$B$7</f>
        <v>3017157.21662952</v>
      </c>
      <c r="C48" s="57"/>
      <c r="D48" s="117" t="n">
        <f aca="false">B48+C48</f>
        <v>3017157.21662952</v>
      </c>
      <c r="E48" s="106" t="n">
        <f aca="false">IF(Z48=0,0,IF(AND(Z48=1,$H$3=1),D48*U48,IF($H$3=2,D48,"N/A")))</f>
        <v>0</v>
      </c>
      <c r="F48" s="106" t="n">
        <f aca="false">E48*Y48</f>
        <v>0</v>
      </c>
      <c r="G48" s="118" t="n">
        <f aca="false">VLOOKUP($A48,Table,MATCH(G$4,Curves,0))</f>
        <v>3</v>
      </c>
      <c r="H48" s="119" t="n">
        <f aca="false">G48+$H$7</f>
        <v>3</v>
      </c>
      <c r="I48" s="118" t="n">
        <f aca="false">'Inputs-Summary'!$B$16</f>
        <v>1.85</v>
      </c>
      <c r="J48" s="118" t="n">
        <f aca="false">VLOOKUP($A48,Table,MATCH(J$4,Curves,0))</f>
        <v>5</v>
      </c>
      <c r="K48" s="119" t="n">
        <f aca="false">J48+$K$7</f>
        <v>5</v>
      </c>
      <c r="L48" s="120" t="n">
        <f aca="false">K48</f>
        <v>5</v>
      </c>
      <c r="M48" s="118" t="n">
        <f aca="false">VLOOKUP($A48,Table,MATCH(M$4,Curves,0))</f>
        <v>5</v>
      </c>
      <c r="N48" s="119" t="n">
        <f aca="false">M48+$N$7</f>
        <v>5</v>
      </c>
      <c r="O48" s="120" t="n">
        <f aca="false">N48</f>
        <v>5</v>
      </c>
      <c r="P48" s="109"/>
      <c r="Q48" s="120" t="n">
        <f aca="false">IF($F$3=1,M48+J48+G48,J48+G48)</f>
        <v>8</v>
      </c>
      <c r="R48" s="120" t="n">
        <f aca="false">IF($F$3=1,N48+K48+H48,K48+H48)</f>
        <v>8</v>
      </c>
      <c r="S48" s="120" t="n">
        <f aca="false">IF($F$3=1,O48+L48+I48,L48+I48)</f>
        <v>6.85</v>
      </c>
      <c r="T48" s="121"/>
      <c r="U48" s="67" t="n">
        <f aca="false">A49-A48</f>
        <v>31</v>
      </c>
      <c r="V48" s="122" t="n">
        <f aca="false">CHOOSE(F$3,A49+24,A48)</f>
        <v>38412</v>
      </c>
      <c r="W48" s="67" t="n">
        <f aca="false">V48-C$3</f>
        <v>-7514</v>
      </c>
      <c r="X48" s="118" t="n">
        <f aca="false">VLOOKUP($A48,Table,MATCH(X$4,Curves,0))</f>
        <v>2</v>
      </c>
      <c r="Y48" s="123" t="n">
        <f aca="false">1/(1+CHOOSE(F$3,(X49+($K$3/10000))/2,(X48+($K$3/10000))/2))^(2*W48/365.25)</f>
        <v>2430552826261.18</v>
      </c>
      <c r="Z48" s="67" t="n">
        <f aca="false">IF(AND(mthbeg&lt;=A48,mthend&gt;=A48),1,0)</f>
        <v>0</v>
      </c>
      <c r="AA48" s="67" t="n">
        <f aca="false">U48*Z48</f>
        <v>0</v>
      </c>
      <c r="AC48" s="110" t="n">
        <f aca="false">F48*(H48-I48)</f>
        <v>0</v>
      </c>
      <c r="AD48" s="49"/>
      <c r="AE48" s="124"/>
    </row>
    <row r="49" customFormat="false" ht="12.75" hidden="false" customHeight="false" outlineLevel="0" collapsed="false">
      <c r="A49" s="115" t="n">
        <f aca="false">EDATE(A48,1)</f>
        <v>38443</v>
      </c>
      <c r="B49" s="116" t="n">
        <f aca="false">'Inputs-Summary'!$B$7</f>
        <v>3017157.21662952</v>
      </c>
      <c r="C49" s="57"/>
      <c r="D49" s="117" t="n">
        <f aca="false">B49+C49</f>
        <v>3017157.21662952</v>
      </c>
      <c r="E49" s="106" t="n">
        <f aca="false">IF(Z49=0,0,IF(AND(Z49=1,$H$3=1),D49*U49,IF($H$3=2,D49,"N/A")))</f>
        <v>0</v>
      </c>
      <c r="F49" s="106" t="n">
        <f aca="false">E49*Y49</f>
        <v>0</v>
      </c>
      <c r="G49" s="118" t="n">
        <f aca="false">VLOOKUP($A49,Table,MATCH(G$4,Curves,0))</f>
        <v>3</v>
      </c>
      <c r="H49" s="119" t="n">
        <f aca="false">G49+$H$7</f>
        <v>3</v>
      </c>
      <c r="I49" s="118" t="n">
        <f aca="false">'Inputs-Summary'!$B$16</f>
        <v>1.85</v>
      </c>
      <c r="J49" s="118" t="n">
        <f aca="false">VLOOKUP($A49,Table,MATCH(J$4,Curves,0))</f>
        <v>5</v>
      </c>
      <c r="K49" s="119" t="n">
        <f aca="false">J49+$K$7</f>
        <v>5</v>
      </c>
      <c r="L49" s="120" t="n">
        <f aca="false">K49</f>
        <v>5</v>
      </c>
      <c r="M49" s="118" t="n">
        <f aca="false">VLOOKUP($A49,Table,MATCH(M$4,Curves,0))</f>
        <v>5</v>
      </c>
      <c r="N49" s="119" t="n">
        <f aca="false">M49+$N$7</f>
        <v>5</v>
      </c>
      <c r="O49" s="120" t="n">
        <f aca="false">N49</f>
        <v>5</v>
      </c>
      <c r="P49" s="109"/>
      <c r="Q49" s="120" t="n">
        <f aca="false">IF($F$3=1,M49+J49+G49,J49+G49)</f>
        <v>8</v>
      </c>
      <c r="R49" s="120" t="n">
        <f aca="false">IF($F$3=1,N49+K49+H49,K49+H49)</f>
        <v>8</v>
      </c>
      <c r="S49" s="120" t="n">
        <f aca="false">IF($F$3=1,O49+L49+I49,L49+I49)</f>
        <v>6.85</v>
      </c>
      <c r="T49" s="121"/>
      <c r="U49" s="67" t="n">
        <f aca="false">A50-A49</f>
        <v>30</v>
      </c>
      <c r="V49" s="122" t="n">
        <f aca="false">CHOOSE(F$3,A50+24,A49)</f>
        <v>38443</v>
      </c>
      <c r="W49" s="67" t="n">
        <f aca="false">V49-C$3</f>
        <v>-7483</v>
      </c>
      <c r="X49" s="118" t="n">
        <f aca="false">VLOOKUP($A49,Table,MATCH(X$4,Curves,0))</f>
        <v>2</v>
      </c>
      <c r="Y49" s="123" t="n">
        <f aca="false">1/(1+CHOOSE(F$3,(X50+($K$3/10000))/2,(X49+($K$3/10000))/2))^(2*W49/365.25)</f>
        <v>2160758357808.13</v>
      </c>
      <c r="Z49" s="67" t="n">
        <f aca="false">IF(AND(mthbeg&lt;=A49,mthend&gt;=A49),1,0)</f>
        <v>0</v>
      </c>
      <c r="AA49" s="67" t="n">
        <f aca="false">U49*Z49</f>
        <v>0</v>
      </c>
      <c r="AC49" s="110" t="n">
        <f aca="false">F49*(H49-I49)</f>
        <v>0</v>
      </c>
      <c r="AD49" s="49"/>
      <c r="AE49" s="124"/>
    </row>
    <row r="50" customFormat="false" ht="12.75" hidden="false" customHeight="false" outlineLevel="0" collapsed="false">
      <c r="A50" s="115" t="n">
        <f aca="false">EDATE(A49,1)</f>
        <v>38473</v>
      </c>
      <c r="B50" s="116" t="n">
        <f aca="false">'Inputs-Summary'!$B$7</f>
        <v>3017157.21662952</v>
      </c>
      <c r="C50" s="57"/>
      <c r="D50" s="117" t="n">
        <f aca="false">B50+C50</f>
        <v>3017157.21662952</v>
      </c>
      <c r="E50" s="106" t="n">
        <f aca="false">IF(Z50=0,0,IF(AND(Z50=1,$H$3=1),D50*U50,IF($H$3=2,D50,"N/A")))</f>
        <v>0</v>
      </c>
      <c r="F50" s="106" t="n">
        <f aca="false">E50*Y50</f>
        <v>0</v>
      </c>
      <c r="G50" s="118" t="n">
        <f aca="false">VLOOKUP($A50,Table,MATCH(G$4,Curves,0))</f>
        <v>3</v>
      </c>
      <c r="H50" s="119" t="n">
        <f aca="false">G50+$H$7</f>
        <v>3</v>
      </c>
      <c r="I50" s="118" t="n">
        <f aca="false">'Inputs-Summary'!$B$16</f>
        <v>1.85</v>
      </c>
      <c r="J50" s="118" t="n">
        <f aca="false">VLOOKUP($A50,Table,MATCH(J$4,Curves,0))</f>
        <v>5</v>
      </c>
      <c r="K50" s="119" t="n">
        <f aca="false">J50+$K$7</f>
        <v>5</v>
      </c>
      <c r="L50" s="120" t="n">
        <f aca="false">K50</f>
        <v>5</v>
      </c>
      <c r="M50" s="118" t="n">
        <f aca="false">VLOOKUP($A50,Table,MATCH(M$4,Curves,0))</f>
        <v>5</v>
      </c>
      <c r="N50" s="119" t="n">
        <f aca="false">M50+$N$7</f>
        <v>5</v>
      </c>
      <c r="O50" s="120" t="n">
        <f aca="false">N50</f>
        <v>5</v>
      </c>
      <c r="P50" s="109"/>
      <c r="Q50" s="120" t="n">
        <f aca="false">IF($F$3=1,M50+J50+G50,J50+G50)</f>
        <v>8</v>
      </c>
      <c r="R50" s="120" t="n">
        <f aca="false">IF($F$3=1,N50+K50+H50,K50+H50)</f>
        <v>8</v>
      </c>
      <c r="S50" s="120" t="n">
        <f aca="false">IF($F$3=1,O50+L50+I50,L50+I50)</f>
        <v>6.85</v>
      </c>
      <c r="T50" s="121"/>
      <c r="U50" s="67" t="n">
        <f aca="false">A51-A50</f>
        <v>31</v>
      </c>
      <c r="V50" s="122" t="n">
        <f aca="false">CHOOSE(F$3,A51+24,A50)</f>
        <v>38473</v>
      </c>
      <c r="W50" s="67" t="n">
        <f aca="false">V50-C$3</f>
        <v>-7453</v>
      </c>
      <c r="X50" s="118" t="n">
        <f aca="false">VLOOKUP($A50,Table,MATCH(X$4,Curves,0))</f>
        <v>2</v>
      </c>
      <c r="Y50" s="123" t="n">
        <f aca="false">1/(1+CHOOSE(F$3,(X51+($K$3/10000))/2,(X50+($K$3/10000))/2))^(2*W50/365.25)</f>
        <v>1928216029528.49</v>
      </c>
      <c r="Z50" s="67" t="n">
        <f aca="false">IF(AND(mthbeg&lt;=A50,mthend&gt;=A50),1,0)</f>
        <v>0</v>
      </c>
      <c r="AA50" s="67" t="n">
        <f aca="false">U50*Z50</f>
        <v>0</v>
      </c>
      <c r="AC50" s="110" t="n">
        <f aca="false">F50*(H50-I50)</f>
        <v>0</v>
      </c>
      <c r="AD50" s="49"/>
      <c r="AE50" s="124"/>
    </row>
    <row r="51" customFormat="false" ht="12.75" hidden="false" customHeight="false" outlineLevel="0" collapsed="false">
      <c r="A51" s="115" t="n">
        <f aca="false">EDATE(A50,1)</f>
        <v>38504</v>
      </c>
      <c r="B51" s="116" t="n">
        <f aca="false">'Inputs-Summary'!$B$7</f>
        <v>3017157.21662952</v>
      </c>
      <c r="C51" s="57"/>
      <c r="D51" s="117" t="n">
        <f aca="false">B51+C51</f>
        <v>3017157.21662952</v>
      </c>
      <c r="E51" s="106" t="n">
        <f aca="false">IF(Z51=0,0,IF(AND(Z51=1,$H$3=1),D51*U51,IF($H$3=2,D51,"N/A")))</f>
        <v>0</v>
      </c>
      <c r="F51" s="106" t="n">
        <f aca="false">E51*Y51</f>
        <v>0</v>
      </c>
      <c r="G51" s="118" t="n">
        <f aca="false">VLOOKUP($A51,Table,MATCH(G$4,Curves,0))</f>
        <v>3</v>
      </c>
      <c r="H51" s="119" t="n">
        <f aca="false">G51+$H$7</f>
        <v>3</v>
      </c>
      <c r="I51" s="118" t="n">
        <f aca="false">'Inputs-Summary'!$B$16</f>
        <v>1.85</v>
      </c>
      <c r="J51" s="118" t="n">
        <f aca="false">VLOOKUP($A51,Table,MATCH(J$4,Curves,0))</f>
        <v>5</v>
      </c>
      <c r="K51" s="119" t="n">
        <f aca="false">J51+$K$7</f>
        <v>5</v>
      </c>
      <c r="L51" s="120" t="n">
        <f aca="false">K51</f>
        <v>5</v>
      </c>
      <c r="M51" s="118" t="n">
        <f aca="false">VLOOKUP($A51,Table,MATCH(M$4,Curves,0))</f>
        <v>5</v>
      </c>
      <c r="N51" s="119" t="n">
        <f aca="false">M51+$N$7</f>
        <v>5</v>
      </c>
      <c r="O51" s="120" t="n">
        <f aca="false">N51</f>
        <v>5</v>
      </c>
      <c r="P51" s="109"/>
      <c r="Q51" s="120" t="n">
        <f aca="false">IF($F$3=1,M51+J51+G51,J51+G51)</f>
        <v>8</v>
      </c>
      <c r="R51" s="120" t="n">
        <f aca="false">IF($F$3=1,N51+K51+H51,K51+H51)</f>
        <v>8</v>
      </c>
      <c r="S51" s="120" t="n">
        <f aca="false">IF($F$3=1,O51+L51+I51,L51+I51)</f>
        <v>6.85</v>
      </c>
      <c r="T51" s="121"/>
      <c r="U51" s="67" t="n">
        <f aca="false">A52-A51</f>
        <v>30</v>
      </c>
      <c r="V51" s="122" t="n">
        <f aca="false">CHOOSE(F$3,A52+24,A51)</f>
        <v>38504</v>
      </c>
      <c r="W51" s="67" t="n">
        <f aca="false">V51-C$3</f>
        <v>-7422</v>
      </c>
      <c r="X51" s="118" t="n">
        <f aca="false">VLOOKUP($A51,Table,MATCH(X$4,Curves,0))</f>
        <v>2</v>
      </c>
      <c r="Y51" s="123" t="n">
        <f aca="false">1/(1+CHOOSE(F$3,(X52+($K$3/10000))/2,(X51+($K$3/10000))/2))^(2*W51/365.25)</f>
        <v>1714181587187.44</v>
      </c>
      <c r="Z51" s="67" t="n">
        <f aca="false">IF(AND(mthbeg&lt;=A51,mthend&gt;=A51),1,0)</f>
        <v>0</v>
      </c>
      <c r="AA51" s="67" t="n">
        <f aca="false">U51*Z51</f>
        <v>0</v>
      </c>
      <c r="AC51" s="110" t="n">
        <f aca="false">F51*(H51-I51)</f>
        <v>0</v>
      </c>
      <c r="AD51" s="49"/>
      <c r="AE51" s="124"/>
    </row>
    <row r="52" customFormat="false" ht="12.75" hidden="false" customHeight="false" outlineLevel="0" collapsed="false">
      <c r="A52" s="115" t="n">
        <f aca="false">EDATE(A51,1)</f>
        <v>38534</v>
      </c>
      <c r="B52" s="116" t="n">
        <f aca="false">'Inputs-Summary'!$B$7</f>
        <v>3017157.21662952</v>
      </c>
      <c r="C52" s="57"/>
      <c r="D52" s="117" t="n">
        <f aca="false">B52+C52</f>
        <v>3017157.21662952</v>
      </c>
      <c r="E52" s="106" t="n">
        <f aca="false">IF(Z52=0,0,IF(AND(Z52=1,$H$3=1),D52*U52,IF($H$3=2,D52,"N/A")))</f>
        <v>0</v>
      </c>
      <c r="F52" s="106" t="n">
        <f aca="false">E52*Y52</f>
        <v>0</v>
      </c>
      <c r="G52" s="118" t="n">
        <f aca="false">VLOOKUP($A52,Table,MATCH(G$4,Curves,0))</f>
        <v>3</v>
      </c>
      <c r="H52" s="119" t="n">
        <f aca="false">G52+$H$7</f>
        <v>3</v>
      </c>
      <c r="I52" s="118" t="n">
        <f aca="false">'Inputs-Summary'!$B$16</f>
        <v>1.85</v>
      </c>
      <c r="J52" s="118" t="n">
        <f aca="false">VLOOKUP($A52,Table,MATCH(J$4,Curves,0))</f>
        <v>5</v>
      </c>
      <c r="K52" s="119" t="n">
        <f aca="false">J52+$K$7</f>
        <v>5</v>
      </c>
      <c r="L52" s="120" t="n">
        <f aca="false">K52</f>
        <v>5</v>
      </c>
      <c r="M52" s="118" t="n">
        <f aca="false">VLOOKUP($A52,Table,MATCH(M$4,Curves,0))</f>
        <v>5</v>
      </c>
      <c r="N52" s="119" t="n">
        <f aca="false">M52+$N$7</f>
        <v>5</v>
      </c>
      <c r="O52" s="120" t="n">
        <f aca="false">N52</f>
        <v>5</v>
      </c>
      <c r="P52" s="109"/>
      <c r="Q52" s="120" t="n">
        <f aca="false">IF($F$3=1,M52+J52+G52,J52+G52)</f>
        <v>8</v>
      </c>
      <c r="R52" s="120" t="n">
        <f aca="false">IF($F$3=1,N52+K52+H52,K52+H52)</f>
        <v>8</v>
      </c>
      <c r="S52" s="120" t="n">
        <f aca="false">IF($F$3=1,O52+L52+I52,L52+I52)</f>
        <v>6.85</v>
      </c>
      <c r="T52" s="121"/>
      <c r="U52" s="67" t="n">
        <f aca="false">A53-A52</f>
        <v>31</v>
      </c>
      <c r="V52" s="122" t="n">
        <f aca="false">CHOOSE(F$3,A53+24,A52)</f>
        <v>38534</v>
      </c>
      <c r="W52" s="67" t="n">
        <f aca="false">V52-C$3</f>
        <v>-7392</v>
      </c>
      <c r="X52" s="118" t="n">
        <f aca="false">VLOOKUP($A52,Table,MATCH(X$4,Curves,0))</f>
        <v>2</v>
      </c>
      <c r="Y52" s="123" t="n">
        <f aca="false">1/(1+CHOOSE(F$3,(X53+($K$3/10000))/2,(X52+($K$3/10000))/2))^(2*W52/365.25)</f>
        <v>1529700163830.6</v>
      </c>
      <c r="Z52" s="67" t="n">
        <f aca="false">IF(AND(mthbeg&lt;=A52,mthend&gt;=A52),1,0)</f>
        <v>0</v>
      </c>
      <c r="AA52" s="67" t="n">
        <f aca="false">U52*Z52</f>
        <v>0</v>
      </c>
      <c r="AC52" s="110" t="n">
        <f aca="false">F52*(H52-I52)</f>
        <v>0</v>
      </c>
      <c r="AD52" s="49"/>
      <c r="AE52" s="124"/>
    </row>
    <row r="53" customFormat="false" ht="12.75" hidden="false" customHeight="false" outlineLevel="0" collapsed="false">
      <c r="A53" s="115" t="n">
        <f aca="false">EDATE(A52,1)</f>
        <v>38565</v>
      </c>
      <c r="B53" s="116" t="n">
        <f aca="false">'Inputs-Summary'!$B$7</f>
        <v>3017157.21662952</v>
      </c>
      <c r="C53" s="57"/>
      <c r="D53" s="117" t="n">
        <f aca="false">B53+C53</f>
        <v>3017157.21662952</v>
      </c>
      <c r="E53" s="106" t="n">
        <f aca="false">IF(Z53=0,0,IF(AND(Z53=1,$H$3=1),D53*U53,IF($H$3=2,D53,"N/A")))</f>
        <v>0</v>
      </c>
      <c r="F53" s="106" t="n">
        <f aca="false">E53*Y53</f>
        <v>0</v>
      </c>
      <c r="G53" s="118" t="n">
        <f aca="false">VLOOKUP($A53,Table,MATCH(G$4,Curves,0))</f>
        <v>3</v>
      </c>
      <c r="H53" s="119" t="n">
        <f aca="false">G53+$H$7</f>
        <v>3</v>
      </c>
      <c r="I53" s="118" t="n">
        <f aca="false">'Inputs-Summary'!$B$16</f>
        <v>1.85</v>
      </c>
      <c r="J53" s="118" t="n">
        <f aca="false">VLOOKUP($A53,Table,MATCH(J$4,Curves,0))</f>
        <v>5</v>
      </c>
      <c r="K53" s="119" t="n">
        <f aca="false">J53+$K$7</f>
        <v>5</v>
      </c>
      <c r="L53" s="120" t="n">
        <f aca="false">K53</f>
        <v>5</v>
      </c>
      <c r="M53" s="118" t="n">
        <f aca="false">VLOOKUP($A53,Table,MATCH(M$4,Curves,0))</f>
        <v>5</v>
      </c>
      <c r="N53" s="119" t="n">
        <f aca="false">M53+$N$7</f>
        <v>5</v>
      </c>
      <c r="O53" s="120" t="n">
        <f aca="false">N53</f>
        <v>5</v>
      </c>
      <c r="P53" s="109"/>
      <c r="Q53" s="120" t="n">
        <f aca="false">IF($F$3=1,M53+J53+G53,J53+G53)</f>
        <v>8</v>
      </c>
      <c r="R53" s="120" t="n">
        <f aca="false">IF($F$3=1,N53+K53+H53,K53+H53)</f>
        <v>8</v>
      </c>
      <c r="S53" s="120" t="n">
        <f aca="false">IF($F$3=1,O53+L53+I53,L53+I53)</f>
        <v>6.85</v>
      </c>
      <c r="T53" s="121"/>
      <c r="U53" s="67" t="n">
        <f aca="false">A54-A53</f>
        <v>31</v>
      </c>
      <c r="V53" s="122" t="n">
        <f aca="false">CHOOSE(F$3,A54+24,A53)</f>
        <v>38565</v>
      </c>
      <c r="W53" s="67" t="n">
        <f aca="false">V53-C$3</f>
        <v>-7361</v>
      </c>
      <c r="X53" s="118" t="n">
        <f aca="false">VLOOKUP($A53,Table,MATCH(X$4,Curves,0))</f>
        <v>2</v>
      </c>
      <c r="Y53" s="123" t="n">
        <f aca="false">1/(1+CHOOSE(F$3,(X54+($K$3/10000))/2,(X53+($K$3/10000))/2))^(2*W53/365.25)</f>
        <v>1359901491637.96</v>
      </c>
      <c r="Z53" s="67" t="n">
        <f aca="false">IF(AND(mthbeg&lt;=A53,mthend&gt;=A53),1,0)</f>
        <v>0</v>
      </c>
      <c r="AA53" s="67" t="n">
        <f aca="false">U53*Z53</f>
        <v>0</v>
      </c>
      <c r="AC53" s="110" t="n">
        <f aca="false">F53*(H53-I53)</f>
        <v>0</v>
      </c>
      <c r="AD53" s="49"/>
      <c r="AE53" s="124"/>
    </row>
    <row r="54" customFormat="false" ht="12.75" hidden="false" customHeight="false" outlineLevel="0" collapsed="false">
      <c r="A54" s="115" t="n">
        <f aca="false">EDATE(A53,1)</f>
        <v>38596</v>
      </c>
      <c r="B54" s="116" t="n">
        <f aca="false">'Inputs-Summary'!$B$7</f>
        <v>3017157.21662952</v>
      </c>
      <c r="C54" s="57"/>
      <c r="D54" s="117" t="n">
        <f aca="false">B54+C54</f>
        <v>3017157.21662952</v>
      </c>
      <c r="E54" s="106" t="n">
        <f aca="false">IF(Z54=0,0,IF(AND(Z54=1,$H$3=1),D54*U54,IF($H$3=2,D54,"N/A")))</f>
        <v>0</v>
      </c>
      <c r="F54" s="106" t="n">
        <f aca="false">E54*Y54</f>
        <v>0</v>
      </c>
      <c r="G54" s="118" t="n">
        <f aca="false">VLOOKUP($A54,Table,MATCH(G$4,Curves,0))</f>
        <v>3</v>
      </c>
      <c r="H54" s="119" t="n">
        <f aca="false">G54+$H$7</f>
        <v>3</v>
      </c>
      <c r="I54" s="118" t="n">
        <f aca="false">'Inputs-Summary'!$B$16</f>
        <v>1.85</v>
      </c>
      <c r="J54" s="118" t="n">
        <f aca="false">VLOOKUP($A54,Table,MATCH(J$4,Curves,0))</f>
        <v>5</v>
      </c>
      <c r="K54" s="119" t="n">
        <f aca="false">J54+$K$7</f>
        <v>5</v>
      </c>
      <c r="L54" s="120" t="n">
        <f aca="false">K54</f>
        <v>5</v>
      </c>
      <c r="M54" s="118" t="n">
        <f aca="false">VLOOKUP($A54,Table,MATCH(M$4,Curves,0))</f>
        <v>5</v>
      </c>
      <c r="N54" s="119" t="n">
        <f aca="false">M54+$N$7</f>
        <v>5</v>
      </c>
      <c r="O54" s="120" t="n">
        <f aca="false">N54</f>
        <v>5</v>
      </c>
      <c r="P54" s="109"/>
      <c r="Q54" s="120" t="n">
        <f aca="false">IF($F$3=1,M54+J54+G54,J54+G54)</f>
        <v>8</v>
      </c>
      <c r="R54" s="120" t="n">
        <f aca="false">IF($F$3=1,N54+K54+H54,K54+H54)</f>
        <v>8</v>
      </c>
      <c r="S54" s="120" t="n">
        <f aca="false">IF($F$3=1,O54+L54+I54,L54+I54)</f>
        <v>6.85</v>
      </c>
      <c r="T54" s="121"/>
      <c r="U54" s="67" t="n">
        <f aca="false">A55-A54</f>
        <v>30</v>
      </c>
      <c r="V54" s="122" t="n">
        <f aca="false">CHOOSE(F$3,A55+24,A54)</f>
        <v>38596</v>
      </c>
      <c r="W54" s="67" t="n">
        <f aca="false">V54-C$3</f>
        <v>-7330</v>
      </c>
      <c r="X54" s="118" t="n">
        <f aca="false">VLOOKUP($A54,Table,MATCH(X$4,Curves,0))</f>
        <v>2</v>
      </c>
      <c r="Y54" s="123" t="n">
        <f aca="false">1/(1+CHOOSE(F$3,(X55+($K$3/10000))/2,(X54+($K$3/10000))/2))^(2*W54/365.25)</f>
        <v>1208950688956.02</v>
      </c>
      <c r="Z54" s="67" t="n">
        <f aca="false">IF(AND(mthbeg&lt;=A54,mthend&gt;=A54),1,0)</f>
        <v>0</v>
      </c>
      <c r="AA54" s="67" t="n">
        <f aca="false">U54*Z54</f>
        <v>0</v>
      </c>
      <c r="AC54" s="110" t="n">
        <f aca="false">F54*(H54-I54)</f>
        <v>0</v>
      </c>
      <c r="AD54" s="49"/>
      <c r="AE54" s="124"/>
    </row>
    <row r="55" customFormat="false" ht="12.75" hidden="false" customHeight="false" outlineLevel="0" collapsed="false">
      <c r="A55" s="115" t="n">
        <f aca="false">EDATE(A54,1)</f>
        <v>38626</v>
      </c>
      <c r="B55" s="116" t="n">
        <f aca="false">'Inputs-Summary'!$B$7</f>
        <v>3017157.21662952</v>
      </c>
      <c r="C55" s="57"/>
      <c r="D55" s="117" t="n">
        <f aca="false">B55+C55</f>
        <v>3017157.21662952</v>
      </c>
      <c r="E55" s="106" t="n">
        <f aca="false">IF(Z55=0,0,IF(AND(Z55=1,$H$3=1),D55*U55,IF($H$3=2,D55,"N/A")))</f>
        <v>0</v>
      </c>
      <c r="F55" s="106" t="n">
        <f aca="false">E55*Y55</f>
        <v>0</v>
      </c>
      <c r="G55" s="118" t="n">
        <f aca="false">VLOOKUP($A55,Table,MATCH(G$4,Curves,0))</f>
        <v>3</v>
      </c>
      <c r="H55" s="119" t="n">
        <f aca="false">G55+$H$7</f>
        <v>3</v>
      </c>
      <c r="I55" s="118" t="n">
        <f aca="false">'Inputs-Summary'!$B$16</f>
        <v>1.85</v>
      </c>
      <c r="J55" s="118" t="n">
        <f aca="false">VLOOKUP($A55,Table,MATCH(J$4,Curves,0))</f>
        <v>5</v>
      </c>
      <c r="K55" s="119" t="n">
        <f aca="false">J55+$K$7</f>
        <v>5</v>
      </c>
      <c r="L55" s="120" t="n">
        <f aca="false">K55</f>
        <v>5</v>
      </c>
      <c r="M55" s="118" t="n">
        <f aca="false">VLOOKUP($A55,Table,MATCH(M$4,Curves,0))</f>
        <v>5</v>
      </c>
      <c r="N55" s="119" t="n">
        <f aca="false">M55+$N$7</f>
        <v>5</v>
      </c>
      <c r="O55" s="120" t="n">
        <f aca="false">N55</f>
        <v>5</v>
      </c>
      <c r="P55" s="109"/>
      <c r="Q55" s="120" t="n">
        <f aca="false">IF($F$3=1,M55+J55+G55,J55+G55)</f>
        <v>8</v>
      </c>
      <c r="R55" s="120" t="n">
        <f aca="false">IF($F$3=1,N55+K55+H55,K55+H55)</f>
        <v>8</v>
      </c>
      <c r="S55" s="120" t="n">
        <f aca="false">IF($F$3=1,O55+L55+I55,L55+I55)</f>
        <v>6.85</v>
      </c>
      <c r="T55" s="121"/>
      <c r="U55" s="67" t="n">
        <f aca="false">A56-A55</f>
        <v>31</v>
      </c>
      <c r="V55" s="122" t="n">
        <f aca="false">CHOOSE(F$3,A56+24,A55)</f>
        <v>38626</v>
      </c>
      <c r="W55" s="67" t="n">
        <f aca="false">V55-C$3</f>
        <v>-7300</v>
      </c>
      <c r="X55" s="118" t="n">
        <f aca="false">VLOOKUP($A55,Table,MATCH(X$4,Curves,0))</f>
        <v>2</v>
      </c>
      <c r="Y55" s="123" t="n">
        <f aca="false">1/(1+CHOOSE(F$3,(X56+($K$3/10000))/2,(X55+($K$3/10000))/2))^(2*W55/365.25)</f>
        <v>1078842568828.11</v>
      </c>
      <c r="Z55" s="67" t="n">
        <f aca="false">IF(AND(mthbeg&lt;=A55,mthend&gt;=A55),1,0)</f>
        <v>0</v>
      </c>
      <c r="AA55" s="67" t="n">
        <f aca="false">U55*Z55</f>
        <v>0</v>
      </c>
      <c r="AC55" s="110" t="n">
        <f aca="false">F55*(H55-I55)</f>
        <v>0</v>
      </c>
      <c r="AD55" s="49"/>
      <c r="AE55" s="124"/>
    </row>
    <row r="56" customFormat="false" ht="12.75" hidden="false" customHeight="false" outlineLevel="0" collapsed="false">
      <c r="A56" s="115" t="n">
        <f aca="false">EDATE(A55,1)</f>
        <v>38657</v>
      </c>
      <c r="B56" s="116" t="n">
        <f aca="false">'Inputs-Summary'!$B$7</f>
        <v>3017157.21662952</v>
      </c>
      <c r="C56" s="57"/>
      <c r="D56" s="117" t="n">
        <f aca="false">B56+C56</f>
        <v>3017157.21662952</v>
      </c>
      <c r="E56" s="106" t="n">
        <f aca="false">IF(Z56=0,0,IF(AND(Z56=1,$H$3=1),D56*U56,IF($H$3=2,D56,"N/A")))</f>
        <v>0</v>
      </c>
      <c r="F56" s="106" t="n">
        <f aca="false">E56*Y56</f>
        <v>0</v>
      </c>
      <c r="G56" s="118" t="n">
        <f aca="false">VLOOKUP($A56,Table,MATCH(G$4,Curves,0))</f>
        <v>3</v>
      </c>
      <c r="H56" s="119" t="n">
        <f aca="false">G56+$H$7</f>
        <v>3</v>
      </c>
      <c r="I56" s="118" t="n">
        <f aca="false">'Inputs-Summary'!$B$16</f>
        <v>1.85</v>
      </c>
      <c r="J56" s="118" t="n">
        <f aca="false">VLOOKUP($A56,Table,MATCH(J$4,Curves,0))</f>
        <v>5</v>
      </c>
      <c r="K56" s="119" t="n">
        <f aca="false">J56+$K$7</f>
        <v>5</v>
      </c>
      <c r="L56" s="120" t="n">
        <f aca="false">K56</f>
        <v>5</v>
      </c>
      <c r="M56" s="118" t="n">
        <f aca="false">VLOOKUP($A56,Table,MATCH(M$4,Curves,0))</f>
        <v>5</v>
      </c>
      <c r="N56" s="119" t="n">
        <f aca="false">M56+$N$7</f>
        <v>5</v>
      </c>
      <c r="O56" s="120" t="n">
        <f aca="false">N56</f>
        <v>5</v>
      </c>
      <c r="P56" s="109"/>
      <c r="Q56" s="120" t="n">
        <f aca="false">IF($F$3=1,M56+J56+G56,J56+G56)</f>
        <v>8</v>
      </c>
      <c r="R56" s="120" t="n">
        <f aca="false">IF($F$3=1,N56+K56+H56,K56+H56)</f>
        <v>8</v>
      </c>
      <c r="S56" s="120" t="n">
        <f aca="false">IF($F$3=1,O56+L56+I56,L56+I56)</f>
        <v>6.85</v>
      </c>
      <c r="T56" s="121"/>
      <c r="U56" s="67" t="n">
        <f aca="false">A57-A56</f>
        <v>30</v>
      </c>
      <c r="V56" s="122" t="n">
        <f aca="false">CHOOSE(F$3,A57+24,A56)</f>
        <v>38657</v>
      </c>
      <c r="W56" s="67" t="n">
        <f aca="false">V56-C$3</f>
        <v>-7269</v>
      </c>
      <c r="X56" s="118" t="n">
        <f aca="false">VLOOKUP($A56,Table,MATCH(X$4,Curves,0))</f>
        <v>2</v>
      </c>
      <c r="Y56" s="123" t="n">
        <f aca="false">1/(1+CHOOSE(F$3,(X57+($K$3/10000))/2,(X56+($K$3/10000))/2))^(2*W56/365.25)</f>
        <v>959089665596.938</v>
      </c>
      <c r="Z56" s="67" t="n">
        <f aca="false">IF(AND(mthbeg&lt;=A56,mthend&gt;=A56),1,0)</f>
        <v>0</v>
      </c>
      <c r="AA56" s="67" t="n">
        <f aca="false">U56*Z56</f>
        <v>0</v>
      </c>
      <c r="AC56" s="110" t="n">
        <f aca="false">F56*(H56-I56)</f>
        <v>0</v>
      </c>
      <c r="AD56" s="49"/>
      <c r="AE56" s="124"/>
    </row>
    <row r="57" customFormat="false" ht="12.75" hidden="false" customHeight="false" outlineLevel="0" collapsed="false">
      <c r="A57" s="115" t="n">
        <f aca="false">EDATE(A56,1)</f>
        <v>38687</v>
      </c>
      <c r="B57" s="116" t="n">
        <f aca="false">'Inputs-Summary'!$B$7</f>
        <v>3017157.21662952</v>
      </c>
      <c r="C57" s="57"/>
      <c r="D57" s="117" t="n">
        <f aca="false">B57+C57</f>
        <v>3017157.21662952</v>
      </c>
      <c r="E57" s="106" t="n">
        <f aca="false">IF(Z57=0,0,IF(AND(Z57=1,$H$3=1),D57*U57,IF($H$3=2,D57,"N/A")))</f>
        <v>0</v>
      </c>
      <c r="F57" s="106" t="n">
        <f aca="false">E57*Y57</f>
        <v>0</v>
      </c>
      <c r="G57" s="118" t="n">
        <f aca="false">VLOOKUP($A57,Table,MATCH(G$4,Curves,0))</f>
        <v>3</v>
      </c>
      <c r="H57" s="119" t="n">
        <f aca="false">G57+$H$7</f>
        <v>3</v>
      </c>
      <c r="I57" s="118" t="n">
        <f aca="false">'Inputs-Summary'!$B$16</f>
        <v>1.85</v>
      </c>
      <c r="J57" s="118" t="n">
        <f aca="false">VLOOKUP($A57,Table,MATCH(J$4,Curves,0))</f>
        <v>5</v>
      </c>
      <c r="K57" s="119" t="n">
        <f aca="false">J57+$K$7</f>
        <v>5</v>
      </c>
      <c r="L57" s="120" t="n">
        <f aca="false">K57</f>
        <v>5</v>
      </c>
      <c r="M57" s="118" t="n">
        <f aca="false">VLOOKUP($A57,Table,MATCH(M$4,Curves,0))</f>
        <v>5</v>
      </c>
      <c r="N57" s="119" t="n">
        <f aca="false">M57+$N$7</f>
        <v>5</v>
      </c>
      <c r="O57" s="120" t="n">
        <f aca="false">N57</f>
        <v>5</v>
      </c>
      <c r="P57" s="109"/>
      <c r="Q57" s="120" t="n">
        <f aca="false">IF($F$3=1,M57+J57+G57,J57+G57)</f>
        <v>8</v>
      </c>
      <c r="R57" s="120" t="n">
        <f aca="false">IF($F$3=1,N57+K57+H57,K57+H57)</f>
        <v>8</v>
      </c>
      <c r="S57" s="120" t="n">
        <f aca="false">IF($F$3=1,O57+L57+I57,L57+I57)</f>
        <v>6.85</v>
      </c>
      <c r="T57" s="121"/>
      <c r="U57" s="67" t="n">
        <f aca="false">A58-A57</f>
        <v>31</v>
      </c>
      <c r="V57" s="122" t="n">
        <f aca="false">CHOOSE(F$3,A58+24,A57)</f>
        <v>38687</v>
      </c>
      <c r="W57" s="67" t="n">
        <f aca="false">V57-C$3</f>
        <v>-7239</v>
      </c>
      <c r="X57" s="118" t="n">
        <f aca="false">VLOOKUP($A57,Table,MATCH(X$4,Curves,0))</f>
        <v>2</v>
      </c>
      <c r="Y57" s="123" t="n">
        <f aca="false">1/(1+CHOOSE(F$3,(X58+($K$3/10000))/2,(X57+($K$3/10000))/2))^(2*W57/365.25)</f>
        <v>855871763853.825</v>
      </c>
      <c r="Z57" s="67" t="n">
        <f aca="false">IF(AND(mthbeg&lt;=A57,mthend&gt;=A57),1,0)</f>
        <v>0</v>
      </c>
      <c r="AA57" s="67" t="n">
        <f aca="false">U57*Z57</f>
        <v>0</v>
      </c>
      <c r="AC57" s="110" t="n">
        <f aca="false">F57*(H57-I57)</f>
        <v>0</v>
      </c>
      <c r="AD57" s="49"/>
      <c r="AE57" s="124"/>
    </row>
    <row r="58" customFormat="false" ht="12.75" hidden="false" customHeight="false" outlineLevel="0" collapsed="false">
      <c r="A58" s="115" t="n">
        <f aca="false">EDATE(A57,1)</f>
        <v>38718</v>
      </c>
      <c r="B58" s="116" t="n">
        <f aca="false">'Inputs-Summary'!$B$7</f>
        <v>3017157.21662952</v>
      </c>
      <c r="C58" s="57"/>
      <c r="D58" s="117" t="n">
        <f aca="false">B58+C58</f>
        <v>3017157.21662952</v>
      </c>
      <c r="E58" s="106" t="n">
        <f aca="false">IF(Z58=0,0,IF(AND(Z58=1,$H$3=1),D58*U58,IF($H$3=2,D58,"N/A")))</f>
        <v>0</v>
      </c>
      <c r="F58" s="106" t="n">
        <f aca="false">E58*Y58</f>
        <v>0</v>
      </c>
      <c r="G58" s="118" t="n">
        <f aca="false">VLOOKUP($A58,Table,MATCH(G$4,Curves,0))</f>
        <v>3</v>
      </c>
      <c r="H58" s="119" t="n">
        <f aca="false">G58+$H$7</f>
        <v>3</v>
      </c>
      <c r="I58" s="118" t="n">
        <f aca="false">'Inputs-Summary'!$B$16</f>
        <v>1.85</v>
      </c>
      <c r="J58" s="118" t="n">
        <f aca="false">VLOOKUP($A58,Table,MATCH(J$4,Curves,0))</f>
        <v>5</v>
      </c>
      <c r="K58" s="119" t="n">
        <f aca="false">J58+$K$7</f>
        <v>5</v>
      </c>
      <c r="L58" s="120" t="n">
        <f aca="false">K58</f>
        <v>5</v>
      </c>
      <c r="M58" s="118" t="n">
        <f aca="false">VLOOKUP($A58,Table,MATCH(M$4,Curves,0))</f>
        <v>5</v>
      </c>
      <c r="N58" s="119" t="n">
        <f aca="false">M58+$N$7</f>
        <v>5</v>
      </c>
      <c r="O58" s="120" t="n">
        <f aca="false">N58</f>
        <v>5</v>
      </c>
      <c r="P58" s="109"/>
      <c r="Q58" s="120" t="n">
        <f aca="false">IF($F$3=1,M58+J58+G58,J58+G58)</f>
        <v>8</v>
      </c>
      <c r="R58" s="120" t="n">
        <f aca="false">IF($F$3=1,N58+K58+H58,K58+H58)</f>
        <v>8</v>
      </c>
      <c r="S58" s="120" t="n">
        <f aca="false">IF($F$3=1,O58+L58+I58,L58+I58)</f>
        <v>6.85</v>
      </c>
      <c r="T58" s="121"/>
      <c r="U58" s="67" t="n">
        <f aca="false">A59-A58</f>
        <v>31</v>
      </c>
      <c r="V58" s="122" t="n">
        <f aca="false">CHOOSE(F$3,A59+24,A58)</f>
        <v>38718</v>
      </c>
      <c r="W58" s="67" t="n">
        <f aca="false">V58-C$3</f>
        <v>-7208</v>
      </c>
      <c r="X58" s="118" t="n">
        <f aca="false">VLOOKUP($A58,Table,MATCH(X$4,Curves,0))</f>
        <v>2</v>
      </c>
      <c r="Y58" s="123" t="n">
        <f aca="false">1/(1+CHOOSE(F$3,(X59+($K$3/10000))/2,(X58+($K$3/10000))/2))^(2*W58/365.25)</f>
        <v>760868904793.11</v>
      </c>
      <c r="Z58" s="67" t="n">
        <f aca="false">IF(AND(mthbeg&lt;=A58,mthend&gt;=A58),1,0)</f>
        <v>0</v>
      </c>
      <c r="AA58" s="67" t="n">
        <f aca="false">U58*Z58</f>
        <v>0</v>
      </c>
      <c r="AC58" s="110" t="n">
        <f aca="false">F58*(H58-I58)</f>
        <v>0</v>
      </c>
      <c r="AD58" s="49"/>
      <c r="AE58" s="124"/>
    </row>
    <row r="59" customFormat="false" ht="12.75" hidden="false" customHeight="false" outlineLevel="0" collapsed="false">
      <c r="A59" s="115" t="n">
        <f aca="false">EDATE(A58,1)</f>
        <v>38749</v>
      </c>
      <c r="B59" s="116" t="n">
        <f aca="false">'Inputs-Summary'!$B$7</f>
        <v>3017157.21662952</v>
      </c>
      <c r="C59" s="57"/>
      <c r="D59" s="117" t="n">
        <f aca="false">B59+C59</f>
        <v>3017157.21662952</v>
      </c>
      <c r="E59" s="106" t="n">
        <f aca="false">IF(Z59=0,0,IF(AND(Z59=1,$H$3=1),D59*U59,IF($H$3=2,D59,"N/A")))</f>
        <v>0</v>
      </c>
      <c r="F59" s="106" t="n">
        <f aca="false">E59*Y59</f>
        <v>0</v>
      </c>
      <c r="G59" s="118" t="n">
        <f aca="false">VLOOKUP($A59,Table,MATCH(G$4,Curves,0))</f>
        <v>3</v>
      </c>
      <c r="H59" s="119" t="n">
        <f aca="false">G59+$H$7</f>
        <v>3</v>
      </c>
      <c r="I59" s="118" t="n">
        <f aca="false">'Inputs-Summary'!$B$16</f>
        <v>1.85</v>
      </c>
      <c r="J59" s="118" t="n">
        <f aca="false">VLOOKUP($A59,Table,MATCH(J$4,Curves,0))</f>
        <v>5</v>
      </c>
      <c r="K59" s="119" t="n">
        <f aca="false">J59+$K$7</f>
        <v>5</v>
      </c>
      <c r="L59" s="120" t="n">
        <f aca="false">K59</f>
        <v>5</v>
      </c>
      <c r="M59" s="118" t="n">
        <f aca="false">VLOOKUP($A59,Table,MATCH(M$4,Curves,0))</f>
        <v>5</v>
      </c>
      <c r="N59" s="119" t="n">
        <f aca="false">M59+$N$7</f>
        <v>5</v>
      </c>
      <c r="O59" s="120" t="n">
        <f aca="false">N59</f>
        <v>5</v>
      </c>
      <c r="P59" s="109"/>
      <c r="Q59" s="120" t="n">
        <f aca="false">IF($F$3=1,M59+J59+G59,J59+G59)</f>
        <v>8</v>
      </c>
      <c r="R59" s="120" t="n">
        <f aca="false">IF($F$3=1,N59+K59+H59,K59+H59)</f>
        <v>8</v>
      </c>
      <c r="S59" s="120" t="n">
        <f aca="false">IF($F$3=1,O59+L59+I59,L59+I59)</f>
        <v>6.85</v>
      </c>
      <c r="T59" s="121"/>
      <c r="U59" s="67" t="n">
        <f aca="false">A60-A59</f>
        <v>28</v>
      </c>
      <c r="V59" s="122" t="n">
        <f aca="false">CHOOSE(F$3,A60+24,A59)</f>
        <v>38749</v>
      </c>
      <c r="W59" s="67" t="n">
        <f aca="false">V59-C$3</f>
        <v>-7177</v>
      </c>
      <c r="X59" s="118" t="n">
        <f aca="false">VLOOKUP($A59,Table,MATCH(X$4,Curves,0))</f>
        <v>2</v>
      </c>
      <c r="Y59" s="123" t="n">
        <f aca="false">1/(1+CHOOSE(F$3,(X60+($K$3/10000))/2,(X59+($K$3/10000))/2))^(2*W59/365.25)</f>
        <v>676411484442.826</v>
      </c>
      <c r="Z59" s="67" t="n">
        <f aca="false">IF(AND(mthbeg&lt;=A59,mthend&gt;=A59),1,0)</f>
        <v>0</v>
      </c>
      <c r="AA59" s="67" t="n">
        <f aca="false">U59*Z59</f>
        <v>0</v>
      </c>
      <c r="AC59" s="110" t="n">
        <f aca="false">F59*(H59-I59)</f>
        <v>0</v>
      </c>
      <c r="AD59" s="49"/>
      <c r="AE59" s="124"/>
    </row>
    <row r="60" customFormat="false" ht="12.75" hidden="false" customHeight="false" outlineLevel="0" collapsed="false">
      <c r="A60" s="115" t="n">
        <f aca="false">EDATE(A59,1)</f>
        <v>38777</v>
      </c>
      <c r="B60" s="116" t="n">
        <f aca="false">'Inputs-Summary'!$B$7</f>
        <v>3017157.21662952</v>
      </c>
      <c r="C60" s="57"/>
      <c r="D60" s="117" t="n">
        <f aca="false">B60+C60</f>
        <v>3017157.21662952</v>
      </c>
      <c r="E60" s="106" t="n">
        <f aca="false">IF(Z60=0,0,IF(AND(Z60=1,$H$3=1),D60*U60,IF($H$3=2,D60,"N/A")))</f>
        <v>0</v>
      </c>
      <c r="F60" s="106" t="n">
        <f aca="false">E60*Y60</f>
        <v>0</v>
      </c>
      <c r="G60" s="118" t="n">
        <f aca="false">VLOOKUP($A60,Table,MATCH(G$4,Curves,0))</f>
        <v>3</v>
      </c>
      <c r="H60" s="119" t="n">
        <f aca="false">G60+$H$7</f>
        <v>3</v>
      </c>
      <c r="I60" s="118" t="n">
        <f aca="false">'Inputs-Summary'!$B$16</f>
        <v>1.85</v>
      </c>
      <c r="J60" s="118" t="n">
        <f aca="false">VLOOKUP($A60,Table,MATCH(J$4,Curves,0))</f>
        <v>5</v>
      </c>
      <c r="K60" s="119" t="n">
        <f aca="false">J60+$K$7</f>
        <v>5</v>
      </c>
      <c r="L60" s="120" t="n">
        <f aca="false">K60</f>
        <v>5</v>
      </c>
      <c r="M60" s="118" t="n">
        <f aca="false">VLOOKUP($A60,Table,MATCH(M$4,Curves,0))</f>
        <v>5</v>
      </c>
      <c r="N60" s="119" t="n">
        <f aca="false">M60+$N$7</f>
        <v>5</v>
      </c>
      <c r="O60" s="120" t="n">
        <f aca="false">N60</f>
        <v>5</v>
      </c>
      <c r="P60" s="109"/>
      <c r="Q60" s="120" t="n">
        <f aca="false">IF($F$3=1,M60+J60+G60,J60+G60)</f>
        <v>8</v>
      </c>
      <c r="R60" s="120" t="n">
        <f aca="false">IF($F$3=1,N60+K60+H60,K60+H60)</f>
        <v>8</v>
      </c>
      <c r="S60" s="120" t="n">
        <f aca="false">IF($F$3=1,O60+L60+I60,L60+I60)</f>
        <v>6.85</v>
      </c>
      <c r="T60" s="121"/>
      <c r="U60" s="67" t="n">
        <f aca="false">A61-A60</f>
        <v>31</v>
      </c>
      <c r="V60" s="122" t="n">
        <f aca="false">CHOOSE(F$3,A61+24,A60)</f>
        <v>38777</v>
      </c>
      <c r="W60" s="67" t="n">
        <f aca="false">V60-C$3</f>
        <v>-7149</v>
      </c>
      <c r="X60" s="118" t="n">
        <f aca="false">VLOOKUP($A60,Table,MATCH(X$4,Curves,0))</f>
        <v>2</v>
      </c>
      <c r="Y60" s="123" t="n">
        <f aca="false">1/(1+CHOOSE(F$3,(X61+($K$3/10000))/2,(X60+($K$3/10000))/2))^(2*W60/365.25)</f>
        <v>608215047901.419</v>
      </c>
      <c r="Z60" s="67" t="n">
        <f aca="false">IF(AND(mthbeg&lt;=A60,mthend&gt;=A60),1,0)</f>
        <v>0</v>
      </c>
      <c r="AA60" s="67" t="n">
        <f aca="false">U60*Z60</f>
        <v>0</v>
      </c>
      <c r="AC60" s="110" t="n">
        <f aca="false">F60*(H60-I60)</f>
        <v>0</v>
      </c>
      <c r="AD60" s="49"/>
      <c r="AE60" s="124"/>
    </row>
    <row r="61" customFormat="false" ht="12.75" hidden="false" customHeight="false" outlineLevel="0" collapsed="false">
      <c r="A61" s="115" t="n">
        <f aca="false">EDATE(A60,1)</f>
        <v>38808</v>
      </c>
      <c r="B61" s="116" t="n">
        <f aca="false">'Inputs-Summary'!$B$7</f>
        <v>3017157.21662952</v>
      </c>
      <c r="C61" s="57"/>
      <c r="D61" s="117" t="n">
        <f aca="false">B61+C61</f>
        <v>3017157.21662952</v>
      </c>
      <c r="E61" s="106" t="n">
        <f aca="false">IF(Z61=0,0,IF(AND(Z61=1,$H$3=1),D61*U61,IF($H$3=2,D61,"N/A")))</f>
        <v>0</v>
      </c>
      <c r="F61" s="106" t="n">
        <f aca="false">E61*Y61</f>
        <v>0</v>
      </c>
      <c r="G61" s="118" t="n">
        <f aca="false">VLOOKUP($A61,Table,MATCH(G$4,Curves,0))</f>
        <v>3</v>
      </c>
      <c r="H61" s="119" t="n">
        <f aca="false">G61+$H$7</f>
        <v>3</v>
      </c>
      <c r="I61" s="118" t="n">
        <f aca="false">'Inputs-Summary'!$B$16</f>
        <v>1.85</v>
      </c>
      <c r="J61" s="118" t="n">
        <f aca="false">VLOOKUP($A61,Table,MATCH(J$4,Curves,0))</f>
        <v>5</v>
      </c>
      <c r="K61" s="119" t="n">
        <f aca="false">J61+$K$7</f>
        <v>5</v>
      </c>
      <c r="L61" s="120" t="n">
        <f aca="false">K61</f>
        <v>5</v>
      </c>
      <c r="M61" s="118" t="n">
        <f aca="false">VLOOKUP($A61,Table,MATCH(M$4,Curves,0))</f>
        <v>5</v>
      </c>
      <c r="N61" s="119" t="n">
        <f aca="false">M61+$N$7</f>
        <v>5</v>
      </c>
      <c r="O61" s="120" t="n">
        <f aca="false">N61</f>
        <v>5</v>
      </c>
      <c r="P61" s="109"/>
      <c r="Q61" s="120" t="n">
        <f aca="false">IF($F$3=1,M61+J61+G61,J61+G61)</f>
        <v>8</v>
      </c>
      <c r="R61" s="120" t="n">
        <f aca="false">IF($F$3=1,N61+K61+H61,K61+H61)</f>
        <v>8</v>
      </c>
      <c r="S61" s="120" t="n">
        <f aca="false">IF($F$3=1,O61+L61+I61,L61+I61)</f>
        <v>6.85</v>
      </c>
      <c r="T61" s="121"/>
      <c r="U61" s="67" t="n">
        <f aca="false">A62-A61</f>
        <v>30</v>
      </c>
      <c r="V61" s="122" t="n">
        <f aca="false">CHOOSE(F$3,A62+24,A61)</f>
        <v>38808</v>
      </c>
      <c r="W61" s="67" t="n">
        <f aca="false">V61-C$3</f>
        <v>-7118</v>
      </c>
      <c r="X61" s="118" t="n">
        <f aca="false">VLOOKUP($A61,Table,MATCH(X$4,Curves,0))</f>
        <v>2</v>
      </c>
      <c r="Y61" s="123" t="n">
        <f aca="false">1/(1+CHOOSE(F$3,(X62+($K$3/10000))/2,(X61+($K$3/10000))/2))^(2*W61/365.25)</f>
        <v>540702400663</v>
      </c>
      <c r="Z61" s="67" t="n">
        <f aca="false">IF(AND(mthbeg&lt;=A61,mthend&gt;=A61),1,0)</f>
        <v>0</v>
      </c>
      <c r="AA61" s="67" t="n">
        <f aca="false">U61*Z61</f>
        <v>0</v>
      </c>
      <c r="AC61" s="110" t="n">
        <f aca="false">F61*(H61-I61)</f>
        <v>0</v>
      </c>
      <c r="AD61" s="49"/>
      <c r="AE61" s="124"/>
    </row>
    <row r="62" customFormat="false" ht="12.75" hidden="false" customHeight="false" outlineLevel="0" collapsed="false">
      <c r="A62" s="115" t="n">
        <f aca="false">EDATE(A61,1)</f>
        <v>38838</v>
      </c>
      <c r="B62" s="116" t="n">
        <f aca="false">'Inputs-Summary'!$B$7</f>
        <v>3017157.21662952</v>
      </c>
      <c r="C62" s="57"/>
      <c r="D62" s="117" t="n">
        <f aca="false">B62+C62</f>
        <v>3017157.21662952</v>
      </c>
      <c r="E62" s="106" t="n">
        <f aca="false">IF(Z62=0,0,IF(AND(Z62=1,$H$3=1),D62*U62,IF($H$3=2,D62,"N/A")))</f>
        <v>0</v>
      </c>
      <c r="F62" s="106" t="n">
        <f aca="false">E62*Y62</f>
        <v>0</v>
      </c>
      <c r="G62" s="118" t="n">
        <f aca="false">VLOOKUP($A62,Table,MATCH(G$4,Curves,0))</f>
        <v>3</v>
      </c>
      <c r="H62" s="119" t="n">
        <f aca="false">G62+$H$7</f>
        <v>3</v>
      </c>
      <c r="I62" s="118" t="n">
        <f aca="false">'Inputs-Summary'!$B$16</f>
        <v>1.85</v>
      </c>
      <c r="J62" s="118" t="n">
        <f aca="false">VLOOKUP($A62,Table,MATCH(J$4,Curves,0))</f>
        <v>5</v>
      </c>
      <c r="K62" s="119" t="n">
        <f aca="false">J62+$K$7</f>
        <v>5</v>
      </c>
      <c r="L62" s="120" t="n">
        <f aca="false">K62</f>
        <v>5</v>
      </c>
      <c r="M62" s="118" t="n">
        <f aca="false">VLOOKUP($A62,Table,MATCH(M$4,Curves,0))</f>
        <v>5</v>
      </c>
      <c r="N62" s="119" t="n">
        <f aca="false">M62+$N$7</f>
        <v>5</v>
      </c>
      <c r="O62" s="120" t="n">
        <f aca="false">N62</f>
        <v>5</v>
      </c>
      <c r="P62" s="109"/>
      <c r="Q62" s="120" t="n">
        <f aca="false">IF($F$3=1,M62+J62+G62,J62+G62)</f>
        <v>8</v>
      </c>
      <c r="R62" s="120" t="n">
        <f aca="false">IF($F$3=1,N62+K62+H62,K62+H62)</f>
        <v>8</v>
      </c>
      <c r="S62" s="120" t="n">
        <f aca="false">IF($F$3=1,O62+L62+I62,L62+I62)</f>
        <v>6.85</v>
      </c>
      <c r="T62" s="121"/>
      <c r="U62" s="67" t="n">
        <f aca="false">A63-A62</f>
        <v>31</v>
      </c>
      <c r="V62" s="122" t="n">
        <f aca="false">CHOOSE(F$3,A63+24,A62)</f>
        <v>38838</v>
      </c>
      <c r="W62" s="67" t="n">
        <f aca="false">V62-C$3</f>
        <v>-7088</v>
      </c>
      <c r="X62" s="118" t="n">
        <f aca="false">VLOOKUP($A62,Table,MATCH(X$4,Curves,0))</f>
        <v>2</v>
      </c>
      <c r="Y62" s="123" t="n">
        <f aca="false">1/(1+CHOOSE(F$3,(X63+($K$3/10000))/2,(X62+($K$3/10000))/2))^(2*W62/365.25)</f>
        <v>482511629491.297</v>
      </c>
      <c r="Z62" s="67" t="n">
        <f aca="false">IF(AND(mthbeg&lt;=A62,mthend&gt;=A62),1,0)</f>
        <v>0</v>
      </c>
      <c r="AA62" s="67" t="n">
        <f aca="false">U62*Z62</f>
        <v>0</v>
      </c>
      <c r="AC62" s="110" t="n">
        <f aca="false">F62*(H62-I62)</f>
        <v>0</v>
      </c>
      <c r="AD62" s="49"/>
      <c r="AE62" s="124"/>
    </row>
    <row r="63" customFormat="false" ht="12.75" hidden="false" customHeight="false" outlineLevel="0" collapsed="false">
      <c r="A63" s="115" t="n">
        <f aca="false">EDATE(A62,1)</f>
        <v>38869</v>
      </c>
      <c r="B63" s="116" t="n">
        <f aca="false">'Inputs-Summary'!$B$7</f>
        <v>3017157.21662952</v>
      </c>
      <c r="C63" s="57"/>
      <c r="D63" s="117" t="n">
        <f aca="false">B63+C63</f>
        <v>3017157.21662952</v>
      </c>
      <c r="E63" s="106" t="n">
        <f aca="false">IF(Z63=0,0,IF(AND(Z63=1,$H$3=1),D63*U63,IF($H$3=2,D63,"N/A")))</f>
        <v>0</v>
      </c>
      <c r="F63" s="106" t="n">
        <f aca="false">E63*Y63</f>
        <v>0</v>
      </c>
      <c r="G63" s="118" t="n">
        <f aca="false">VLOOKUP($A63,Table,MATCH(G$4,Curves,0))</f>
        <v>3</v>
      </c>
      <c r="H63" s="119" t="n">
        <f aca="false">G63+$H$7</f>
        <v>3</v>
      </c>
      <c r="I63" s="118" t="n">
        <f aca="false">'Inputs-Summary'!$B$16</f>
        <v>1.85</v>
      </c>
      <c r="J63" s="118" t="n">
        <f aca="false">VLOOKUP($A63,Table,MATCH(J$4,Curves,0))</f>
        <v>5</v>
      </c>
      <c r="K63" s="119" t="n">
        <f aca="false">J63+$K$7</f>
        <v>5</v>
      </c>
      <c r="L63" s="120" t="n">
        <f aca="false">K63</f>
        <v>5</v>
      </c>
      <c r="M63" s="118" t="n">
        <f aca="false">VLOOKUP($A63,Table,MATCH(M$4,Curves,0))</f>
        <v>5</v>
      </c>
      <c r="N63" s="119" t="n">
        <f aca="false">M63+$N$7</f>
        <v>5</v>
      </c>
      <c r="O63" s="120" t="n">
        <f aca="false">N63</f>
        <v>5</v>
      </c>
      <c r="P63" s="109"/>
      <c r="Q63" s="120" t="n">
        <f aca="false">IF($F$3=1,M63+J63+G63,J63+G63)</f>
        <v>8</v>
      </c>
      <c r="R63" s="120" t="n">
        <f aca="false">IF($F$3=1,N63+K63+H63,K63+H63)</f>
        <v>8</v>
      </c>
      <c r="S63" s="120" t="n">
        <f aca="false">IF($F$3=1,O63+L63+I63,L63+I63)</f>
        <v>6.85</v>
      </c>
      <c r="T63" s="121"/>
      <c r="U63" s="67" t="n">
        <f aca="false">A64-A63</f>
        <v>30</v>
      </c>
      <c r="V63" s="122" t="n">
        <f aca="false">CHOOSE(F$3,A64+24,A63)</f>
        <v>38869</v>
      </c>
      <c r="W63" s="67" t="n">
        <f aca="false">V63-C$3</f>
        <v>-7057</v>
      </c>
      <c r="X63" s="118" t="n">
        <f aca="false">VLOOKUP($A63,Table,MATCH(X$4,Curves,0))</f>
        <v>2</v>
      </c>
      <c r="Y63" s="123" t="n">
        <f aca="false">1/(1+CHOOSE(F$3,(X64+($K$3/10000))/2,(X63+($K$3/10000))/2))^(2*W63/365.25)</f>
        <v>428952222267.358</v>
      </c>
      <c r="Z63" s="67" t="n">
        <f aca="false">IF(AND(mthbeg&lt;=A63,mthend&gt;=A63),1,0)</f>
        <v>0</v>
      </c>
      <c r="AA63" s="67" t="n">
        <f aca="false">U63*Z63</f>
        <v>0</v>
      </c>
      <c r="AC63" s="110" t="n">
        <f aca="false">F63*(H63-I63)</f>
        <v>0</v>
      </c>
      <c r="AD63" s="49"/>
      <c r="AE63" s="124"/>
    </row>
    <row r="64" customFormat="false" ht="12.75" hidden="false" customHeight="false" outlineLevel="0" collapsed="false">
      <c r="A64" s="115" t="n">
        <f aca="false">EDATE(A63,1)</f>
        <v>38899</v>
      </c>
      <c r="B64" s="116" t="n">
        <f aca="false">'Inputs-Summary'!$B$7</f>
        <v>3017157.21662952</v>
      </c>
      <c r="C64" s="57"/>
      <c r="D64" s="117" t="n">
        <f aca="false">B64+C64</f>
        <v>3017157.21662952</v>
      </c>
      <c r="E64" s="106" t="n">
        <f aca="false">IF(Z64=0,0,IF(AND(Z64=1,$H$3=1),D64*U64,IF($H$3=2,D64,"N/A")))</f>
        <v>0</v>
      </c>
      <c r="F64" s="106" t="n">
        <f aca="false">E64*Y64</f>
        <v>0</v>
      </c>
      <c r="G64" s="118" t="n">
        <f aca="false">VLOOKUP($A64,Table,MATCH(G$4,Curves,0))</f>
        <v>3</v>
      </c>
      <c r="H64" s="119" t="n">
        <f aca="false">G64+$H$7</f>
        <v>3</v>
      </c>
      <c r="I64" s="118" t="n">
        <f aca="false">'Inputs-Summary'!$B$16</f>
        <v>1.85</v>
      </c>
      <c r="J64" s="118" t="n">
        <f aca="false">VLOOKUP($A64,Table,MATCH(J$4,Curves,0))</f>
        <v>5</v>
      </c>
      <c r="K64" s="119" t="n">
        <f aca="false">J64+$K$7</f>
        <v>5</v>
      </c>
      <c r="L64" s="120" t="n">
        <f aca="false">K64</f>
        <v>5</v>
      </c>
      <c r="M64" s="118" t="n">
        <f aca="false">VLOOKUP($A64,Table,MATCH(M$4,Curves,0))</f>
        <v>5</v>
      </c>
      <c r="N64" s="119" t="n">
        <f aca="false">M64+$N$7</f>
        <v>5</v>
      </c>
      <c r="O64" s="120" t="n">
        <f aca="false">N64</f>
        <v>5</v>
      </c>
      <c r="P64" s="109"/>
      <c r="Q64" s="120" t="n">
        <f aca="false">IF($F$3=1,M64+J64+G64,J64+G64)</f>
        <v>8</v>
      </c>
      <c r="R64" s="120" t="n">
        <f aca="false">IF($F$3=1,N64+K64+H64,K64+H64)</f>
        <v>8</v>
      </c>
      <c r="S64" s="120" t="n">
        <f aca="false">IF($F$3=1,O64+L64+I64,L64+I64)</f>
        <v>6.85</v>
      </c>
      <c r="T64" s="121"/>
      <c r="U64" s="67" t="n">
        <f aca="false">A65-A64</f>
        <v>31</v>
      </c>
      <c r="V64" s="122" t="n">
        <f aca="false">CHOOSE(F$3,A65+24,A64)</f>
        <v>38899</v>
      </c>
      <c r="W64" s="67" t="n">
        <f aca="false">V64-C$3</f>
        <v>-7027</v>
      </c>
      <c r="X64" s="118" t="n">
        <f aca="false">VLOOKUP($A64,Table,MATCH(X$4,Curves,0))</f>
        <v>2</v>
      </c>
      <c r="Y64" s="123" t="n">
        <f aca="false">1/(1+CHOOSE(F$3,(X65+($K$3/10000))/2,(X64+($K$3/10000))/2))^(2*W64/365.25)</f>
        <v>382788083585.992</v>
      </c>
      <c r="Z64" s="67" t="n">
        <f aca="false">IF(AND(mthbeg&lt;=A64,mthend&gt;=A64),1,0)</f>
        <v>0</v>
      </c>
      <c r="AA64" s="67" t="n">
        <f aca="false">U64*Z64</f>
        <v>0</v>
      </c>
      <c r="AC64" s="110" t="n">
        <f aca="false">F64*(H64-I64)</f>
        <v>0</v>
      </c>
      <c r="AD64" s="49"/>
      <c r="AE64" s="124"/>
    </row>
    <row r="65" customFormat="false" ht="12.75" hidden="false" customHeight="false" outlineLevel="0" collapsed="false">
      <c r="A65" s="115" t="n">
        <f aca="false">EDATE(A64,1)</f>
        <v>38930</v>
      </c>
      <c r="B65" s="116" t="n">
        <f aca="false">'Inputs-Summary'!$B$7</f>
        <v>3017157.21662952</v>
      </c>
      <c r="C65" s="57"/>
      <c r="D65" s="117" t="n">
        <f aca="false">B65+C65</f>
        <v>3017157.21662952</v>
      </c>
      <c r="E65" s="106" t="n">
        <f aca="false">IF(Z65=0,0,IF(AND(Z65=1,$H$3=1),D65*U65,IF($H$3=2,D65,"N/A")))</f>
        <v>0</v>
      </c>
      <c r="F65" s="106" t="n">
        <f aca="false">E65*Y65</f>
        <v>0</v>
      </c>
      <c r="G65" s="118" t="n">
        <f aca="false">VLOOKUP($A65,Table,MATCH(G$4,Curves,0))</f>
        <v>3</v>
      </c>
      <c r="H65" s="119" t="n">
        <f aca="false">G65+$H$7</f>
        <v>3</v>
      </c>
      <c r="I65" s="118" t="n">
        <f aca="false">'Inputs-Summary'!$B$16</f>
        <v>1.85</v>
      </c>
      <c r="J65" s="118" t="n">
        <f aca="false">VLOOKUP($A65,Table,MATCH(J$4,Curves,0))</f>
        <v>5</v>
      </c>
      <c r="K65" s="119" t="n">
        <f aca="false">J65+$K$7</f>
        <v>5</v>
      </c>
      <c r="L65" s="120" t="n">
        <f aca="false">K65</f>
        <v>5</v>
      </c>
      <c r="M65" s="118" t="n">
        <f aca="false">VLOOKUP($A65,Table,MATCH(M$4,Curves,0))</f>
        <v>5</v>
      </c>
      <c r="N65" s="119" t="n">
        <f aca="false">M65+$N$7</f>
        <v>5</v>
      </c>
      <c r="O65" s="120" t="n">
        <f aca="false">N65</f>
        <v>5</v>
      </c>
      <c r="P65" s="109"/>
      <c r="Q65" s="120" t="n">
        <f aca="false">IF($F$3=1,M65+J65+G65,J65+G65)</f>
        <v>8</v>
      </c>
      <c r="R65" s="120" t="n">
        <f aca="false">IF($F$3=1,N65+K65+H65,K65+H65)</f>
        <v>8</v>
      </c>
      <c r="S65" s="120" t="n">
        <f aca="false">IF($F$3=1,O65+L65+I65,L65+I65)</f>
        <v>6.85</v>
      </c>
      <c r="T65" s="121"/>
      <c r="U65" s="67" t="n">
        <f aca="false">A66-A65</f>
        <v>31</v>
      </c>
      <c r="V65" s="122" t="n">
        <f aca="false">CHOOSE(F$3,A66+24,A65)</f>
        <v>38930</v>
      </c>
      <c r="W65" s="67" t="n">
        <f aca="false">V65-C$3</f>
        <v>-6996</v>
      </c>
      <c r="X65" s="118" t="n">
        <f aca="false">VLOOKUP($A65,Table,MATCH(X$4,Curves,0))</f>
        <v>2</v>
      </c>
      <c r="Y65" s="123" t="n">
        <f aca="false">1/(1+CHOOSE(F$3,(X66+($K$3/10000))/2,(X65+($K$3/10000))/2))^(2*W65/365.25)</f>
        <v>340298117342.343</v>
      </c>
      <c r="Z65" s="67" t="n">
        <f aca="false">IF(AND(mthbeg&lt;=A65,mthend&gt;=A65),1,0)</f>
        <v>0</v>
      </c>
      <c r="AA65" s="67" t="n">
        <f aca="false">U65*Z65</f>
        <v>0</v>
      </c>
      <c r="AC65" s="110" t="n">
        <f aca="false">F65*(H65-I65)</f>
        <v>0</v>
      </c>
      <c r="AD65" s="49"/>
      <c r="AE65" s="124"/>
    </row>
    <row r="66" customFormat="false" ht="12.75" hidden="false" customHeight="false" outlineLevel="0" collapsed="false">
      <c r="A66" s="115" t="n">
        <f aca="false">EDATE(A65,1)</f>
        <v>38961</v>
      </c>
      <c r="B66" s="116" t="n">
        <f aca="false">'Inputs-Summary'!$B$7</f>
        <v>3017157.21662952</v>
      </c>
      <c r="C66" s="57"/>
      <c r="D66" s="117" t="n">
        <f aca="false">B66+C66</f>
        <v>3017157.21662952</v>
      </c>
      <c r="E66" s="106" t="n">
        <f aca="false">IF(Z66=0,0,IF(AND(Z66=1,$H$3=1),D66*U66,IF($H$3=2,D66,"N/A")))</f>
        <v>0</v>
      </c>
      <c r="F66" s="106" t="n">
        <f aca="false">E66*Y66</f>
        <v>0</v>
      </c>
      <c r="G66" s="118" t="n">
        <f aca="false">VLOOKUP($A66,Table,MATCH(G$4,Curves,0))</f>
        <v>3</v>
      </c>
      <c r="H66" s="119" t="n">
        <f aca="false">G66+$H$7</f>
        <v>3</v>
      </c>
      <c r="I66" s="118" t="n">
        <f aca="false">'Inputs-Summary'!$B$16</f>
        <v>1.85</v>
      </c>
      <c r="J66" s="118" t="n">
        <f aca="false">VLOOKUP($A66,Table,MATCH(J$4,Curves,0))</f>
        <v>5</v>
      </c>
      <c r="K66" s="119" t="n">
        <f aca="false">J66+$K$7</f>
        <v>5</v>
      </c>
      <c r="L66" s="120" t="n">
        <f aca="false">K66</f>
        <v>5</v>
      </c>
      <c r="M66" s="118" t="n">
        <f aca="false">VLOOKUP($A66,Table,MATCH(M$4,Curves,0))</f>
        <v>5</v>
      </c>
      <c r="N66" s="119" t="n">
        <f aca="false">M66+$N$7</f>
        <v>5</v>
      </c>
      <c r="O66" s="120" t="n">
        <f aca="false">N66</f>
        <v>5</v>
      </c>
      <c r="P66" s="109"/>
      <c r="Q66" s="120" t="n">
        <f aca="false">IF($F$3=1,M66+J66+G66,J66+G66)</f>
        <v>8</v>
      </c>
      <c r="R66" s="120" t="n">
        <f aca="false">IF($F$3=1,N66+K66+H66,K66+H66)</f>
        <v>8</v>
      </c>
      <c r="S66" s="120" t="n">
        <f aca="false">IF($F$3=1,O66+L66+I66,L66+I66)</f>
        <v>6.85</v>
      </c>
      <c r="T66" s="121"/>
      <c r="U66" s="67" t="n">
        <f aca="false">A67-A66</f>
        <v>30</v>
      </c>
      <c r="V66" s="122" t="n">
        <f aca="false">CHOOSE(F$3,A67+24,A66)</f>
        <v>38961</v>
      </c>
      <c r="W66" s="67" t="n">
        <f aca="false">V66-C$3</f>
        <v>-6965</v>
      </c>
      <c r="X66" s="118" t="n">
        <f aca="false">VLOOKUP($A66,Table,MATCH(X$4,Curves,0))</f>
        <v>2</v>
      </c>
      <c r="Y66" s="123" t="n">
        <f aca="false">1/(1+CHOOSE(F$3,(X67+($K$3/10000))/2,(X66+($K$3/10000))/2))^(2*W66/365.25)</f>
        <v>302524591627.546</v>
      </c>
      <c r="Z66" s="67" t="n">
        <f aca="false">IF(AND(mthbeg&lt;=A66,mthend&gt;=A66),1,0)</f>
        <v>0</v>
      </c>
      <c r="AA66" s="67" t="n">
        <f aca="false">U66*Z66</f>
        <v>0</v>
      </c>
      <c r="AC66" s="110" t="n">
        <f aca="false">F66*(H66-I66)</f>
        <v>0</v>
      </c>
      <c r="AD66" s="49"/>
      <c r="AE66" s="124"/>
    </row>
    <row r="67" customFormat="false" ht="12.75" hidden="false" customHeight="false" outlineLevel="0" collapsed="false">
      <c r="A67" s="115" t="n">
        <f aca="false">EDATE(A66,1)</f>
        <v>38991</v>
      </c>
      <c r="B67" s="116" t="n">
        <f aca="false">'Inputs-Summary'!$B$7</f>
        <v>3017157.21662952</v>
      </c>
      <c r="C67" s="57"/>
      <c r="D67" s="117" t="n">
        <f aca="false">B67+C67</f>
        <v>3017157.21662952</v>
      </c>
      <c r="E67" s="106" t="n">
        <f aca="false">IF(Z67=0,0,IF(AND(Z67=1,$H$3=1),D67*U67,IF($H$3=2,D67,"N/A")))</f>
        <v>0</v>
      </c>
      <c r="F67" s="106" t="n">
        <f aca="false">E67*Y67</f>
        <v>0</v>
      </c>
      <c r="G67" s="118" t="n">
        <f aca="false">VLOOKUP($A67,Table,MATCH(G$4,Curves,0))</f>
        <v>3</v>
      </c>
      <c r="H67" s="119" t="n">
        <f aca="false">G67+$H$7</f>
        <v>3</v>
      </c>
      <c r="I67" s="118" t="n">
        <f aca="false">'Inputs-Summary'!$B$16</f>
        <v>1.85</v>
      </c>
      <c r="J67" s="118" t="n">
        <f aca="false">VLOOKUP($A67,Table,MATCH(J$4,Curves,0))</f>
        <v>5</v>
      </c>
      <c r="K67" s="119" t="n">
        <f aca="false">J67+$K$7</f>
        <v>5</v>
      </c>
      <c r="L67" s="120" t="n">
        <f aca="false">K67</f>
        <v>5</v>
      </c>
      <c r="M67" s="118" t="n">
        <f aca="false">VLOOKUP($A67,Table,MATCH(M$4,Curves,0))</f>
        <v>5</v>
      </c>
      <c r="N67" s="119" t="n">
        <f aca="false">M67+$N$7</f>
        <v>5</v>
      </c>
      <c r="O67" s="120" t="n">
        <f aca="false">N67</f>
        <v>5</v>
      </c>
      <c r="P67" s="109"/>
      <c r="Q67" s="120" t="n">
        <f aca="false">IF($F$3=1,M67+J67+G67,J67+G67)</f>
        <v>8</v>
      </c>
      <c r="R67" s="120" t="n">
        <f aca="false">IF($F$3=1,N67+K67+H67,K67+H67)</f>
        <v>8</v>
      </c>
      <c r="S67" s="120" t="n">
        <f aca="false">IF($F$3=1,O67+L67+I67,L67+I67)</f>
        <v>6.85</v>
      </c>
      <c r="T67" s="121"/>
      <c r="U67" s="67" t="n">
        <f aca="false">A68-A67</f>
        <v>31</v>
      </c>
      <c r="V67" s="122" t="n">
        <f aca="false">CHOOSE(F$3,A68+24,A67)</f>
        <v>38991</v>
      </c>
      <c r="W67" s="67" t="n">
        <f aca="false">V67-C$3</f>
        <v>-6935</v>
      </c>
      <c r="X67" s="118" t="n">
        <f aca="false">VLOOKUP($A67,Table,MATCH(X$4,Curves,0))</f>
        <v>2</v>
      </c>
      <c r="Y67" s="123" t="n">
        <f aca="false">1/(1+CHOOSE(F$3,(X68+($K$3/10000))/2,(X67+($K$3/10000))/2))^(2*W67/365.25)</f>
        <v>269966683129.958</v>
      </c>
      <c r="Z67" s="67" t="n">
        <f aca="false">IF(AND(mthbeg&lt;=A67,mthend&gt;=A67),1,0)</f>
        <v>0</v>
      </c>
      <c r="AA67" s="67" t="n">
        <f aca="false">U67*Z67</f>
        <v>0</v>
      </c>
      <c r="AC67" s="110" t="n">
        <f aca="false">F67*(H67-I67)</f>
        <v>0</v>
      </c>
      <c r="AD67" s="49"/>
      <c r="AE67" s="124"/>
    </row>
    <row r="68" customFormat="false" ht="12.75" hidden="false" customHeight="false" outlineLevel="0" collapsed="false">
      <c r="A68" s="115" t="n">
        <f aca="false">EDATE(A67,1)</f>
        <v>39022</v>
      </c>
      <c r="B68" s="116" t="n">
        <f aca="false">'Inputs-Summary'!$B$7</f>
        <v>3017157.21662952</v>
      </c>
      <c r="C68" s="57"/>
      <c r="D68" s="117" t="n">
        <f aca="false">B68+C68</f>
        <v>3017157.21662952</v>
      </c>
      <c r="E68" s="106" t="n">
        <f aca="false">IF(Z68=0,0,IF(AND(Z68=1,$H$3=1),D68*U68,IF($H$3=2,D68,"N/A")))</f>
        <v>0</v>
      </c>
      <c r="F68" s="106" t="n">
        <f aca="false">E68*Y68</f>
        <v>0</v>
      </c>
      <c r="G68" s="118" t="n">
        <f aca="false">VLOOKUP($A68,Table,MATCH(G$4,Curves,0))</f>
        <v>3</v>
      </c>
      <c r="H68" s="119" t="n">
        <f aca="false">G68+$H$7</f>
        <v>3</v>
      </c>
      <c r="I68" s="118" t="n">
        <f aca="false">'Inputs-Summary'!$B$16</f>
        <v>1.85</v>
      </c>
      <c r="J68" s="118" t="n">
        <f aca="false">VLOOKUP($A68,Table,MATCH(J$4,Curves,0))</f>
        <v>5</v>
      </c>
      <c r="K68" s="119" t="n">
        <f aca="false">J68+$K$7</f>
        <v>5</v>
      </c>
      <c r="L68" s="120" t="n">
        <f aca="false">K68</f>
        <v>5</v>
      </c>
      <c r="M68" s="118" t="n">
        <f aca="false">VLOOKUP($A68,Table,MATCH(M$4,Curves,0))</f>
        <v>5</v>
      </c>
      <c r="N68" s="119" t="n">
        <f aca="false">M68+$N$7</f>
        <v>5</v>
      </c>
      <c r="O68" s="120" t="n">
        <f aca="false">N68</f>
        <v>5</v>
      </c>
      <c r="P68" s="109"/>
      <c r="Q68" s="120" t="n">
        <f aca="false">IF($F$3=1,M68+J68+G68,J68+G68)</f>
        <v>8</v>
      </c>
      <c r="R68" s="120" t="n">
        <f aca="false">IF($F$3=1,N68+K68+H68,K68+H68)</f>
        <v>8</v>
      </c>
      <c r="S68" s="120" t="n">
        <f aca="false">IF($F$3=1,O68+L68+I68,L68+I68)</f>
        <v>6.85</v>
      </c>
      <c r="T68" s="121"/>
      <c r="U68" s="67" t="n">
        <f aca="false">A69-A68</f>
        <v>30</v>
      </c>
      <c r="V68" s="122" t="n">
        <f aca="false">CHOOSE(F$3,A69+24,A68)</f>
        <v>39022</v>
      </c>
      <c r="W68" s="67" t="n">
        <f aca="false">V68-C$3</f>
        <v>-6904</v>
      </c>
      <c r="X68" s="118" t="n">
        <f aca="false">VLOOKUP($A68,Table,MATCH(X$4,Curves,0))</f>
        <v>2</v>
      </c>
      <c r="Y68" s="123" t="n">
        <f aca="false">1/(1+CHOOSE(F$3,(X69+($K$3/10000))/2,(X68+($K$3/10000))/2))^(2*W68/365.25)</f>
        <v>240000036452.659</v>
      </c>
      <c r="Z68" s="67" t="n">
        <f aca="false">IF(AND(mthbeg&lt;=A68,mthend&gt;=A68),1,0)</f>
        <v>0</v>
      </c>
      <c r="AA68" s="67" t="n">
        <f aca="false">U68*Z68</f>
        <v>0</v>
      </c>
      <c r="AC68" s="110" t="n">
        <f aca="false">F68*(H68-I68)</f>
        <v>0</v>
      </c>
      <c r="AD68" s="49"/>
      <c r="AE68" s="124"/>
    </row>
    <row r="69" customFormat="false" ht="12.75" hidden="false" customHeight="false" outlineLevel="0" collapsed="false">
      <c r="A69" s="115" t="n">
        <f aca="false">EDATE(A68,1)</f>
        <v>39052</v>
      </c>
      <c r="B69" s="116" t="n">
        <f aca="false">'Inputs-Summary'!$B$7</f>
        <v>3017157.21662952</v>
      </c>
      <c r="C69" s="57"/>
      <c r="D69" s="117" t="n">
        <f aca="false">B69+C69</f>
        <v>3017157.21662952</v>
      </c>
      <c r="E69" s="106" t="n">
        <f aca="false">IF(Z69=0,0,IF(AND(Z69=1,$H$3=1),D69*U69,IF($H$3=2,D69,"N/A")))</f>
        <v>0</v>
      </c>
      <c r="F69" s="106" t="n">
        <f aca="false">E69*Y69</f>
        <v>0</v>
      </c>
      <c r="G69" s="118" t="n">
        <f aca="false">VLOOKUP($A69,Table,MATCH(G$4,Curves,0))</f>
        <v>3</v>
      </c>
      <c r="H69" s="119" t="n">
        <f aca="false">G69+$H$7</f>
        <v>3</v>
      </c>
      <c r="I69" s="118" t="n">
        <f aca="false">'Inputs-Summary'!$B$16</f>
        <v>1.85</v>
      </c>
      <c r="J69" s="118" t="n">
        <f aca="false">VLOOKUP($A69,Table,MATCH(J$4,Curves,0))</f>
        <v>5</v>
      </c>
      <c r="K69" s="119" t="n">
        <f aca="false">J69+$K$7</f>
        <v>5</v>
      </c>
      <c r="L69" s="120" t="n">
        <f aca="false">K69</f>
        <v>5</v>
      </c>
      <c r="M69" s="118" t="n">
        <f aca="false">VLOOKUP($A69,Table,MATCH(M$4,Curves,0))</f>
        <v>5</v>
      </c>
      <c r="N69" s="119" t="n">
        <f aca="false">M69+$N$7</f>
        <v>5</v>
      </c>
      <c r="O69" s="120" t="n">
        <f aca="false">N69</f>
        <v>5</v>
      </c>
      <c r="P69" s="109"/>
      <c r="Q69" s="120" t="n">
        <f aca="false">IF($F$3=1,M69+J69+G69,J69+G69)</f>
        <v>8</v>
      </c>
      <c r="R69" s="120" t="n">
        <f aca="false">IF($F$3=1,N69+K69+H69,K69+H69)</f>
        <v>8</v>
      </c>
      <c r="S69" s="120" t="n">
        <f aca="false">IF($F$3=1,O69+L69+I69,L69+I69)</f>
        <v>6.85</v>
      </c>
      <c r="T69" s="121"/>
      <c r="U69" s="67" t="n">
        <f aca="false">A70-A69</f>
        <v>31</v>
      </c>
      <c r="V69" s="122" t="n">
        <f aca="false">CHOOSE(F$3,A70+24,A69)</f>
        <v>39052</v>
      </c>
      <c r="W69" s="67" t="n">
        <f aca="false">V69-C$3</f>
        <v>-6874</v>
      </c>
      <c r="X69" s="118" t="n">
        <f aca="false">VLOOKUP($A69,Table,MATCH(X$4,Curves,0))</f>
        <v>2</v>
      </c>
      <c r="Y69" s="123" t="n">
        <f aca="false">1/(1+CHOOSE(F$3,(X70+($K$3/10000))/2,(X69+($K$3/10000))/2))^(2*W69/365.25)</f>
        <v>214171064387.262</v>
      </c>
      <c r="Z69" s="67" t="n">
        <f aca="false">IF(AND(mthbeg&lt;=A69,mthend&gt;=A69),1,0)</f>
        <v>0</v>
      </c>
      <c r="AA69" s="67" t="n">
        <f aca="false">U69*Z69</f>
        <v>0</v>
      </c>
      <c r="AC69" s="110" t="n">
        <f aca="false">F69*(H69-I69)</f>
        <v>0</v>
      </c>
      <c r="AD69" s="49"/>
      <c r="AE69" s="124"/>
    </row>
    <row r="70" customFormat="false" ht="12.75" hidden="false" customHeight="false" outlineLevel="0" collapsed="false">
      <c r="A70" s="115" t="n">
        <f aca="false">EDATE(A69,1)</f>
        <v>39083</v>
      </c>
      <c r="B70" s="116" t="n">
        <f aca="false">'Inputs-Summary'!$B$7</f>
        <v>3017157.21662952</v>
      </c>
      <c r="C70" s="57"/>
      <c r="D70" s="117" t="n">
        <f aca="false">B70+C70</f>
        <v>3017157.21662952</v>
      </c>
      <c r="E70" s="106" t="n">
        <f aca="false">IF(Z70=0,0,IF(AND(Z70=1,$H$3=1),D70*U70,IF($H$3=2,D70,"N/A")))</f>
        <v>0</v>
      </c>
      <c r="F70" s="106" t="n">
        <f aca="false">E70*Y70</f>
        <v>0</v>
      </c>
      <c r="G70" s="118" t="n">
        <f aca="false">VLOOKUP($A70,Table,MATCH(G$4,Curves,0))</f>
        <v>3</v>
      </c>
      <c r="H70" s="119" t="n">
        <f aca="false">G70+$H$7</f>
        <v>3</v>
      </c>
      <c r="I70" s="118" t="n">
        <f aca="false">'Inputs-Summary'!$B$16</f>
        <v>1.85</v>
      </c>
      <c r="J70" s="118" t="n">
        <f aca="false">VLOOKUP($A70,Table,MATCH(J$4,Curves,0))</f>
        <v>5</v>
      </c>
      <c r="K70" s="119" t="n">
        <f aca="false">J70+$K$7</f>
        <v>5</v>
      </c>
      <c r="L70" s="120" t="n">
        <f aca="false">K70</f>
        <v>5</v>
      </c>
      <c r="M70" s="118" t="n">
        <f aca="false">VLOOKUP($A70,Table,MATCH(M$4,Curves,0))</f>
        <v>5</v>
      </c>
      <c r="N70" s="119" t="n">
        <f aca="false">M70+$N$7</f>
        <v>5</v>
      </c>
      <c r="O70" s="120" t="n">
        <f aca="false">N70</f>
        <v>5</v>
      </c>
      <c r="P70" s="109"/>
      <c r="Q70" s="120" t="n">
        <f aca="false">IF($F$3=1,M70+J70+G70,J70+G70)</f>
        <v>8</v>
      </c>
      <c r="R70" s="120" t="n">
        <f aca="false">IF($F$3=1,N70+K70+H70,K70+H70)</f>
        <v>8</v>
      </c>
      <c r="S70" s="120" t="n">
        <f aca="false">IF($F$3=1,O70+L70+I70,L70+I70)</f>
        <v>6.85</v>
      </c>
      <c r="T70" s="121"/>
      <c r="U70" s="67" t="n">
        <f aca="false">A71-A70</f>
        <v>31</v>
      </c>
      <c r="V70" s="122" t="n">
        <f aca="false">CHOOSE(F$3,A71+24,A70)</f>
        <v>39083</v>
      </c>
      <c r="W70" s="67" t="n">
        <f aca="false">V70-C$3</f>
        <v>-6843</v>
      </c>
      <c r="X70" s="118" t="n">
        <f aca="false">VLOOKUP($A70,Table,MATCH(X$4,Curves,0))</f>
        <v>2</v>
      </c>
      <c r="Y70" s="123" t="n">
        <f aca="false">1/(1+CHOOSE(F$3,(X71+($K$3/10000))/2,(X70+($K$3/10000))/2))^(2*W70/365.25)</f>
        <v>190397802662.575</v>
      </c>
      <c r="Z70" s="67" t="n">
        <f aca="false">IF(AND(mthbeg&lt;=A70,mthend&gt;=A70),1,0)</f>
        <v>0</v>
      </c>
      <c r="AA70" s="67" t="n">
        <f aca="false">U70*Z70</f>
        <v>0</v>
      </c>
      <c r="AC70" s="110" t="n">
        <f aca="false">F70*(H70-I70)</f>
        <v>0</v>
      </c>
      <c r="AD70" s="49"/>
      <c r="AE70" s="124"/>
    </row>
    <row r="71" customFormat="false" ht="12.75" hidden="false" customHeight="false" outlineLevel="0" collapsed="false">
      <c r="A71" s="115" t="n">
        <f aca="false">EDATE(A70,1)</f>
        <v>39114</v>
      </c>
      <c r="B71" s="116" t="n">
        <f aca="false">'Inputs-Summary'!$B$7</f>
        <v>3017157.21662952</v>
      </c>
      <c r="C71" s="57"/>
      <c r="D71" s="117" t="n">
        <f aca="false">B71+C71</f>
        <v>3017157.21662952</v>
      </c>
      <c r="E71" s="106" t="n">
        <f aca="false">IF(Z71=0,0,IF(AND(Z71=1,$H$3=1),D71*U71,IF($H$3=2,D71,"N/A")))</f>
        <v>0</v>
      </c>
      <c r="F71" s="106" t="n">
        <f aca="false">E71*Y71</f>
        <v>0</v>
      </c>
      <c r="G71" s="118" t="n">
        <f aca="false">VLOOKUP($A71,Table,MATCH(G$4,Curves,0))</f>
        <v>3</v>
      </c>
      <c r="H71" s="119" t="n">
        <f aca="false">G71+$H$7</f>
        <v>3</v>
      </c>
      <c r="I71" s="118" t="n">
        <f aca="false">'Inputs-Summary'!$B$16</f>
        <v>1.85</v>
      </c>
      <c r="J71" s="118" t="n">
        <f aca="false">VLOOKUP($A71,Table,MATCH(J$4,Curves,0))</f>
        <v>5</v>
      </c>
      <c r="K71" s="119" t="n">
        <f aca="false">J71+$K$7</f>
        <v>5</v>
      </c>
      <c r="L71" s="120" t="n">
        <f aca="false">K71</f>
        <v>5</v>
      </c>
      <c r="M71" s="118" t="n">
        <f aca="false">VLOOKUP($A71,Table,MATCH(M$4,Curves,0))</f>
        <v>5</v>
      </c>
      <c r="N71" s="119" t="n">
        <f aca="false">M71+$N$7</f>
        <v>5</v>
      </c>
      <c r="O71" s="120" t="n">
        <f aca="false">N71</f>
        <v>5</v>
      </c>
      <c r="P71" s="109"/>
      <c r="Q71" s="120" t="n">
        <f aca="false">IF($F$3=1,M71+J71+G71,J71+G71)</f>
        <v>8</v>
      </c>
      <c r="R71" s="120" t="n">
        <f aca="false">IF($F$3=1,N71+K71+H71,K71+H71)</f>
        <v>8</v>
      </c>
      <c r="S71" s="120" t="n">
        <f aca="false">IF($F$3=1,O71+L71+I71,L71+I71)</f>
        <v>6.85</v>
      </c>
      <c r="T71" s="121"/>
      <c r="U71" s="67" t="n">
        <f aca="false">A72-A71</f>
        <v>28</v>
      </c>
      <c r="V71" s="122" t="n">
        <f aca="false">CHOOSE(F$3,A72+24,A71)</f>
        <v>39114</v>
      </c>
      <c r="W71" s="67" t="n">
        <f aca="false">V71-C$3</f>
        <v>-6812</v>
      </c>
      <c r="X71" s="118" t="n">
        <f aca="false">VLOOKUP($A71,Table,MATCH(X$4,Curves,0))</f>
        <v>2</v>
      </c>
      <c r="Y71" s="123" t="n">
        <f aca="false">1/(1+CHOOSE(F$3,(X72+($K$3/10000))/2,(X71+($K$3/10000))/2))^(2*W71/365.25)</f>
        <v>169263403356.803</v>
      </c>
      <c r="Z71" s="67" t="n">
        <f aca="false">IF(AND(mthbeg&lt;=A71,mthend&gt;=A71),1,0)</f>
        <v>0</v>
      </c>
      <c r="AA71" s="67" t="n">
        <f aca="false">U71*Z71</f>
        <v>0</v>
      </c>
      <c r="AC71" s="110" t="n">
        <f aca="false">F71*(H71-I71)</f>
        <v>0</v>
      </c>
      <c r="AD71" s="49"/>
      <c r="AE71" s="124"/>
    </row>
    <row r="72" customFormat="false" ht="12.75" hidden="false" customHeight="false" outlineLevel="0" collapsed="false">
      <c r="A72" s="115" t="n">
        <f aca="false">EDATE(A71,1)</f>
        <v>39142</v>
      </c>
      <c r="B72" s="116" t="n">
        <f aca="false">'Inputs-Summary'!$B$7</f>
        <v>3017157.21662952</v>
      </c>
      <c r="C72" s="57"/>
      <c r="D72" s="117" t="n">
        <f aca="false">B72+C72</f>
        <v>3017157.21662952</v>
      </c>
      <c r="E72" s="106" t="n">
        <f aca="false">IF(Z72=0,0,IF(AND(Z72=1,$H$3=1),D72*U72,IF($H$3=2,D72,"N/A")))</f>
        <v>0</v>
      </c>
      <c r="F72" s="106" t="n">
        <f aca="false">E72*Y72</f>
        <v>0</v>
      </c>
      <c r="G72" s="118" t="n">
        <f aca="false">VLOOKUP($A72,Table,MATCH(G$4,Curves,0))</f>
        <v>3</v>
      </c>
      <c r="H72" s="119" t="n">
        <f aca="false">G72+$H$7</f>
        <v>3</v>
      </c>
      <c r="I72" s="118" t="n">
        <f aca="false">'Inputs-Summary'!$B$16</f>
        <v>1.85</v>
      </c>
      <c r="J72" s="118" t="n">
        <f aca="false">VLOOKUP($A72,Table,MATCH(J$4,Curves,0))</f>
        <v>5</v>
      </c>
      <c r="K72" s="119" t="n">
        <f aca="false">J72+$K$7</f>
        <v>5</v>
      </c>
      <c r="L72" s="120" t="n">
        <f aca="false">K72</f>
        <v>5</v>
      </c>
      <c r="M72" s="118" t="n">
        <f aca="false">VLOOKUP($A72,Table,MATCH(M$4,Curves,0))</f>
        <v>5</v>
      </c>
      <c r="N72" s="119" t="n">
        <f aca="false">M72+$N$7</f>
        <v>5</v>
      </c>
      <c r="O72" s="120" t="n">
        <f aca="false">N72</f>
        <v>5</v>
      </c>
      <c r="P72" s="109"/>
      <c r="Q72" s="120" t="n">
        <f aca="false">IF($F$3=1,M72+J72+G72,J72+G72)</f>
        <v>8</v>
      </c>
      <c r="R72" s="120" t="n">
        <f aca="false">IF($F$3=1,N72+K72+H72,K72+H72)</f>
        <v>8</v>
      </c>
      <c r="S72" s="120" t="n">
        <f aca="false">IF($F$3=1,O72+L72+I72,L72+I72)</f>
        <v>6.85</v>
      </c>
      <c r="T72" s="121"/>
      <c r="U72" s="67" t="n">
        <f aca="false">A73-A72</f>
        <v>31</v>
      </c>
      <c r="V72" s="122" t="n">
        <f aca="false">CHOOSE(F$3,A73+24,A72)</f>
        <v>39142</v>
      </c>
      <c r="W72" s="67" t="n">
        <f aca="false">V72-C$3</f>
        <v>-6784</v>
      </c>
      <c r="X72" s="118" t="n">
        <f aca="false">VLOOKUP($A72,Table,MATCH(X$4,Curves,0))</f>
        <v>2</v>
      </c>
      <c r="Y72" s="123" t="n">
        <f aca="false">1/(1+CHOOSE(F$3,(X73+($K$3/10000))/2,(X72+($K$3/10000))/2))^(2*W72/365.25)</f>
        <v>152198109210.721</v>
      </c>
      <c r="Z72" s="67" t="n">
        <f aca="false">IF(AND(mthbeg&lt;=A72,mthend&gt;=A72),1,0)</f>
        <v>0</v>
      </c>
      <c r="AA72" s="67" t="n">
        <f aca="false">U72*Z72</f>
        <v>0</v>
      </c>
      <c r="AC72" s="110" t="n">
        <f aca="false">F72*(H72-I72)</f>
        <v>0</v>
      </c>
      <c r="AD72" s="49"/>
      <c r="AE72" s="124"/>
    </row>
    <row r="73" customFormat="false" ht="12.75" hidden="false" customHeight="false" outlineLevel="0" collapsed="false">
      <c r="A73" s="115" t="n">
        <f aca="false">EDATE(A72,1)</f>
        <v>39173</v>
      </c>
      <c r="B73" s="116" t="n">
        <f aca="false">'Inputs-Summary'!$B$7</f>
        <v>3017157.21662952</v>
      </c>
      <c r="C73" s="57"/>
      <c r="D73" s="117" t="n">
        <f aca="false">B73+C73</f>
        <v>3017157.21662952</v>
      </c>
      <c r="E73" s="106" t="n">
        <f aca="false">IF(Z73=0,0,IF(AND(Z73=1,$H$3=1),D73*U73,IF($H$3=2,D73,"N/A")))</f>
        <v>0</v>
      </c>
      <c r="F73" s="106" t="n">
        <f aca="false">E73*Y73</f>
        <v>0</v>
      </c>
      <c r="G73" s="118" t="n">
        <f aca="false">VLOOKUP($A73,Table,MATCH(G$4,Curves,0))</f>
        <v>3</v>
      </c>
      <c r="H73" s="119" t="n">
        <f aca="false">G73+$H$7</f>
        <v>3</v>
      </c>
      <c r="I73" s="118" t="n">
        <f aca="false">'Inputs-Summary'!$B$16</f>
        <v>1.85</v>
      </c>
      <c r="J73" s="118" t="n">
        <f aca="false">VLOOKUP($A73,Table,MATCH(J$4,Curves,0))</f>
        <v>5</v>
      </c>
      <c r="K73" s="119" t="n">
        <f aca="false">J73+$K$7</f>
        <v>5</v>
      </c>
      <c r="L73" s="120" t="n">
        <f aca="false">K73</f>
        <v>5</v>
      </c>
      <c r="M73" s="118" t="n">
        <f aca="false">VLOOKUP($A73,Table,MATCH(M$4,Curves,0))</f>
        <v>5</v>
      </c>
      <c r="N73" s="119" t="n">
        <f aca="false">M73+$N$7</f>
        <v>5</v>
      </c>
      <c r="O73" s="120" t="n">
        <f aca="false">N73</f>
        <v>5</v>
      </c>
      <c r="P73" s="109"/>
      <c r="Q73" s="120" t="n">
        <f aca="false">IF($F$3=1,M73+J73+G73,J73+G73)</f>
        <v>8</v>
      </c>
      <c r="R73" s="120" t="n">
        <f aca="false">IF($F$3=1,N73+K73+H73,K73+H73)</f>
        <v>8</v>
      </c>
      <c r="S73" s="120" t="n">
        <f aca="false">IF($F$3=1,O73+L73+I73,L73+I73)</f>
        <v>6.85</v>
      </c>
      <c r="T73" s="121"/>
      <c r="U73" s="67" t="n">
        <f aca="false">A74-A73</f>
        <v>30</v>
      </c>
      <c r="V73" s="122" t="n">
        <f aca="false">CHOOSE(F$3,A74+24,A73)</f>
        <v>39173</v>
      </c>
      <c r="W73" s="67" t="n">
        <f aca="false">V73-C$3</f>
        <v>-6753</v>
      </c>
      <c r="X73" s="118" t="n">
        <f aca="false">VLOOKUP($A73,Table,MATCH(X$4,Curves,0))</f>
        <v>2</v>
      </c>
      <c r="Y73" s="123" t="n">
        <f aca="false">1/(1+CHOOSE(F$3,(X74+($K$3/10000))/2,(X73+($K$3/10000))/2))^(2*W73/365.25)</f>
        <v>135303924673.605</v>
      </c>
      <c r="Z73" s="67" t="n">
        <f aca="false">IF(AND(mthbeg&lt;=A73,mthend&gt;=A73),1,0)</f>
        <v>0</v>
      </c>
      <c r="AA73" s="67" t="n">
        <f aca="false">U73*Z73</f>
        <v>0</v>
      </c>
      <c r="AC73" s="110" t="n">
        <f aca="false">F73*(H73-I73)</f>
        <v>0</v>
      </c>
      <c r="AD73" s="49"/>
      <c r="AE73" s="124"/>
    </row>
    <row r="74" customFormat="false" ht="12.75" hidden="false" customHeight="false" outlineLevel="0" collapsed="false">
      <c r="A74" s="115" t="n">
        <f aca="false">EDATE(A73,1)</f>
        <v>39203</v>
      </c>
      <c r="B74" s="116" t="n">
        <f aca="false">'Inputs-Summary'!$B$7</f>
        <v>3017157.21662952</v>
      </c>
      <c r="C74" s="57"/>
      <c r="D74" s="117" t="n">
        <f aca="false">B74+C74</f>
        <v>3017157.21662952</v>
      </c>
      <c r="E74" s="106" t="n">
        <f aca="false">IF(Z74=0,0,IF(AND(Z74=1,$H$3=1),D74*U74,IF($H$3=2,D74,"N/A")))</f>
        <v>0</v>
      </c>
      <c r="F74" s="106" t="n">
        <f aca="false">E74*Y74</f>
        <v>0</v>
      </c>
      <c r="G74" s="118" t="n">
        <f aca="false">VLOOKUP($A74,Table,MATCH(G$4,Curves,0))</f>
        <v>3</v>
      </c>
      <c r="H74" s="119" t="n">
        <f aca="false">G74+$H$7</f>
        <v>3</v>
      </c>
      <c r="I74" s="118" t="n">
        <f aca="false">'Inputs-Summary'!$B$16</f>
        <v>1.85</v>
      </c>
      <c r="J74" s="118" t="n">
        <f aca="false">VLOOKUP($A74,Table,MATCH(J$4,Curves,0))</f>
        <v>5</v>
      </c>
      <c r="K74" s="119" t="n">
        <f aca="false">J74+$K$7</f>
        <v>5</v>
      </c>
      <c r="L74" s="120" t="n">
        <f aca="false">K74</f>
        <v>5</v>
      </c>
      <c r="M74" s="118" t="n">
        <f aca="false">VLOOKUP($A74,Table,MATCH(M$4,Curves,0))</f>
        <v>5</v>
      </c>
      <c r="N74" s="119" t="n">
        <f aca="false">M74+$N$7</f>
        <v>5</v>
      </c>
      <c r="O74" s="120" t="n">
        <f aca="false">N74</f>
        <v>5</v>
      </c>
      <c r="P74" s="109"/>
      <c r="Q74" s="120" t="n">
        <f aca="false">IF($F$3=1,M74+J74+G74,J74+G74)</f>
        <v>8</v>
      </c>
      <c r="R74" s="120" t="n">
        <f aca="false">IF($F$3=1,N74+K74+H74,K74+H74)</f>
        <v>8</v>
      </c>
      <c r="S74" s="120" t="n">
        <f aca="false">IF($F$3=1,O74+L74+I74,L74+I74)</f>
        <v>6.85</v>
      </c>
      <c r="T74" s="121"/>
      <c r="U74" s="67" t="n">
        <f aca="false">A75-A74</f>
        <v>31</v>
      </c>
      <c r="V74" s="122" t="n">
        <f aca="false">CHOOSE(F$3,A75+24,A74)</f>
        <v>39203</v>
      </c>
      <c r="W74" s="67" t="n">
        <f aca="false">V74-C$3</f>
        <v>-6723</v>
      </c>
      <c r="X74" s="118" t="n">
        <f aca="false">VLOOKUP($A74,Table,MATCH(X$4,Curves,0))</f>
        <v>2</v>
      </c>
      <c r="Y74" s="123" t="n">
        <f aca="false">1/(1+CHOOSE(F$3,(X75+($K$3/10000))/2,(X74+($K$3/10000))/2))^(2*W74/365.25)</f>
        <v>120742421507.24</v>
      </c>
      <c r="Z74" s="67" t="n">
        <f aca="false">IF(AND(mthbeg&lt;=A74,mthend&gt;=A74),1,0)</f>
        <v>0</v>
      </c>
      <c r="AA74" s="67" t="n">
        <f aca="false">U74*Z74</f>
        <v>0</v>
      </c>
      <c r="AC74" s="110" t="n">
        <f aca="false">F74*(H74-I74)</f>
        <v>0</v>
      </c>
      <c r="AD74" s="49"/>
      <c r="AE74" s="124"/>
    </row>
    <row r="75" customFormat="false" ht="12.75" hidden="false" customHeight="false" outlineLevel="0" collapsed="false">
      <c r="A75" s="115" t="n">
        <f aca="false">EDATE(A74,1)</f>
        <v>39234</v>
      </c>
      <c r="B75" s="116" t="n">
        <f aca="false">'Inputs-Summary'!$B$7</f>
        <v>3017157.21662952</v>
      </c>
      <c r="C75" s="57"/>
      <c r="D75" s="117" t="n">
        <f aca="false">B75+C75</f>
        <v>3017157.21662952</v>
      </c>
      <c r="E75" s="106" t="n">
        <f aca="false">IF(Z75=0,0,IF(AND(Z75=1,$H$3=1),D75*U75,IF($H$3=2,D75,"N/A")))</f>
        <v>0</v>
      </c>
      <c r="F75" s="106" t="n">
        <f aca="false">E75*Y75</f>
        <v>0</v>
      </c>
      <c r="G75" s="118" t="n">
        <f aca="false">VLOOKUP($A75,Table,MATCH(G$4,Curves,0))</f>
        <v>3</v>
      </c>
      <c r="H75" s="119" t="n">
        <f aca="false">G75+$H$7</f>
        <v>3</v>
      </c>
      <c r="I75" s="118" t="n">
        <f aca="false">'Inputs-Summary'!$B$16</f>
        <v>1.85</v>
      </c>
      <c r="J75" s="118" t="n">
        <f aca="false">VLOOKUP($A75,Table,MATCH(J$4,Curves,0))</f>
        <v>5</v>
      </c>
      <c r="K75" s="119" t="n">
        <f aca="false">J75+$K$7</f>
        <v>5</v>
      </c>
      <c r="L75" s="120" t="n">
        <f aca="false">K75</f>
        <v>5</v>
      </c>
      <c r="M75" s="118" t="n">
        <f aca="false">VLOOKUP($A75,Table,MATCH(M$4,Curves,0))</f>
        <v>5</v>
      </c>
      <c r="N75" s="119" t="n">
        <f aca="false">M75+$N$7</f>
        <v>5</v>
      </c>
      <c r="O75" s="120" t="n">
        <f aca="false">N75</f>
        <v>5</v>
      </c>
      <c r="P75" s="109"/>
      <c r="Q75" s="120" t="n">
        <f aca="false">IF($F$3=1,M75+J75+G75,J75+G75)</f>
        <v>8</v>
      </c>
      <c r="R75" s="120" t="n">
        <f aca="false">IF($F$3=1,N75+K75+H75,K75+H75)</f>
        <v>8</v>
      </c>
      <c r="S75" s="120" t="n">
        <f aca="false">IF($F$3=1,O75+L75+I75,L75+I75)</f>
        <v>6.85</v>
      </c>
      <c r="T75" s="121"/>
      <c r="U75" s="67" t="n">
        <f aca="false">A76-A75</f>
        <v>30</v>
      </c>
      <c r="V75" s="122" t="n">
        <f aca="false">CHOOSE(F$3,A76+24,A75)</f>
        <v>39234</v>
      </c>
      <c r="W75" s="67" t="n">
        <f aca="false">V75-C$3</f>
        <v>-6692</v>
      </c>
      <c r="X75" s="118" t="n">
        <f aca="false">VLOOKUP($A75,Table,MATCH(X$4,Curves,0))</f>
        <v>2</v>
      </c>
      <c r="Y75" s="123" t="n">
        <f aca="false">1/(1+CHOOSE(F$3,(X76+($K$3/10000))/2,(X75+($K$3/10000))/2))^(2*W75/365.25)</f>
        <v>107339858486.057</v>
      </c>
      <c r="Z75" s="67" t="n">
        <f aca="false">IF(AND(mthbeg&lt;=A75,mthend&gt;=A75),1,0)</f>
        <v>0</v>
      </c>
      <c r="AA75" s="67" t="n">
        <f aca="false">U75*Z75</f>
        <v>0</v>
      </c>
      <c r="AC75" s="110" t="n">
        <f aca="false">F75*(H75-I75)</f>
        <v>0</v>
      </c>
      <c r="AD75" s="49"/>
      <c r="AE75" s="124"/>
    </row>
    <row r="76" customFormat="false" ht="12.75" hidden="false" customHeight="false" outlineLevel="0" collapsed="false">
      <c r="A76" s="115" t="n">
        <f aca="false">EDATE(A75,1)</f>
        <v>39264</v>
      </c>
      <c r="B76" s="116" t="n">
        <f aca="false">'Inputs-Summary'!$B$7</f>
        <v>3017157.21662952</v>
      </c>
      <c r="C76" s="57"/>
      <c r="D76" s="117" t="n">
        <f aca="false">B76+C76</f>
        <v>3017157.21662952</v>
      </c>
      <c r="E76" s="106" t="n">
        <f aca="false">IF(Z76=0,0,IF(AND(Z76=1,$H$3=1),D76*U76,IF($H$3=2,D76,"N/A")))</f>
        <v>0</v>
      </c>
      <c r="F76" s="106" t="n">
        <f aca="false">E76*Y76</f>
        <v>0</v>
      </c>
      <c r="G76" s="118" t="n">
        <f aca="false">VLOOKUP($A76,Table,MATCH(G$4,Curves,0))</f>
        <v>3</v>
      </c>
      <c r="H76" s="119" t="n">
        <f aca="false">G76+$H$7</f>
        <v>3</v>
      </c>
      <c r="I76" s="118" t="n">
        <f aca="false">'Inputs-Summary'!$B$16</f>
        <v>1.85</v>
      </c>
      <c r="J76" s="118" t="n">
        <f aca="false">VLOOKUP($A76,Table,MATCH(J$4,Curves,0))</f>
        <v>5</v>
      </c>
      <c r="K76" s="119" t="n">
        <f aca="false">J76+$K$7</f>
        <v>5</v>
      </c>
      <c r="L76" s="120" t="n">
        <f aca="false">K76</f>
        <v>5</v>
      </c>
      <c r="M76" s="118" t="n">
        <f aca="false">VLOOKUP($A76,Table,MATCH(M$4,Curves,0))</f>
        <v>5</v>
      </c>
      <c r="N76" s="119" t="n">
        <f aca="false">M76+$N$7</f>
        <v>5</v>
      </c>
      <c r="O76" s="120" t="n">
        <f aca="false">N76</f>
        <v>5</v>
      </c>
      <c r="P76" s="109"/>
      <c r="Q76" s="120" t="n">
        <f aca="false">IF($F$3=1,M76+J76+G76,J76+G76)</f>
        <v>8</v>
      </c>
      <c r="R76" s="120" t="n">
        <f aca="false">IF($F$3=1,N76+K76+H76,K76+H76)</f>
        <v>8</v>
      </c>
      <c r="S76" s="120" t="n">
        <f aca="false">IF($F$3=1,O76+L76+I76,L76+I76)</f>
        <v>6.85</v>
      </c>
      <c r="T76" s="121"/>
      <c r="U76" s="67" t="n">
        <f aca="false">A77-A76</f>
        <v>31</v>
      </c>
      <c r="V76" s="122" t="n">
        <f aca="false">CHOOSE(F$3,A77+24,A76)</f>
        <v>39264</v>
      </c>
      <c r="W76" s="67" t="n">
        <f aca="false">V76-C$3</f>
        <v>-6662</v>
      </c>
      <c r="X76" s="118" t="n">
        <f aca="false">VLOOKUP($A76,Table,MATCH(X$4,Curves,0))</f>
        <v>2</v>
      </c>
      <c r="Y76" s="123" t="n">
        <f aca="false">1/(1+CHOOSE(F$3,(X77+($K$3/10000))/2,(X76+($K$3/10000))/2))^(2*W76/365.25)</f>
        <v>95787867714.2268</v>
      </c>
      <c r="Z76" s="67" t="n">
        <f aca="false">IF(AND(mthbeg&lt;=A76,mthend&gt;=A76),1,0)</f>
        <v>0</v>
      </c>
      <c r="AA76" s="67" t="n">
        <f aca="false">U76*Z76</f>
        <v>0</v>
      </c>
      <c r="AC76" s="110" t="n">
        <f aca="false">F76*(H76-I76)</f>
        <v>0</v>
      </c>
      <c r="AD76" s="49"/>
      <c r="AE76" s="124"/>
    </row>
    <row r="77" customFormat="false" ht="12.75" hidden="false" customHeight="false" outlineLevel="0" collapsed="false">
      <c r="A77" s="115" t="n">
        <f aca="false">EDATE(A76,1)</f>
        <v>39295</v>
      </c>
      <c r="B77" s="116" t="n">
        <f aca="false">'Inputs-Summary'!$B$7</f>
        <v>3017157.21662952</v>
      </c>
      <c r="C77" s="57"/>
      <c r="D77" s="117" t="n">
        <f aca="false">B77+C77</f>
        <v>3017157.21662952</v>
      </c>
      <c r="E77" s="106" t="n">
        <f aca="false">IF(Z77=0,0,IF(AND(Z77=1,$H$3=1),D77*U77,IF($H$3=2,D77,"N/A")))</f>
        <v>0</v>
      </c>
      <c r="F77" s="106" t="n">
        <f aca="false">E77*Y77</f>
        <v>0</v>
      </c>
      <c r="G77" s="118" t="n">
        <f aca="false">VLOOKUP($A77,Table,MATCH(G$4,Curves,0))</f>
        <v>3</v>
      </c>
      <c r="H77" s="119" t="n">
        <f aca="false">G77+$H$7</f>
        <v>3</v>
      </c>
      <c r="I77" s="118" t="n">
        <f aca="false">'Inputs-Summary'!$B$16</f>
        <v>1.85</v>
      </c>
      <c r="J77" s="118" t="n">
        <f aca="false">VLOOKUP($A77,Table,MATCH(J$4,Curves,0))</f>
        <v>5</v>
      </c>
      <c r="K77" s="119" t="n">
        <f aca="false">J77+$K$7</f>
        <v>5</v>
      </c>
      <c r="L77" s="120" t="n">
        <f aca="false">K77</f>
        <v>5</v>
      </c>
      <c r="M77" s="118" t="n">
        <f aca="false">VLOOKUP($A77,Table,MATCH(M$4,Curves,0))</f>
        <v>5</v>
      </c>
      <c r="N77" s="119" t="n">
        <f aca="false">M77+$N$7</f>
        <v>5</v>
      </c>
      <c r="O77" s="120" t="n">
        <f aca="false">N77</f>
        <v>5</v>
      </c>
      <c r="P77" s="109"/>
      <c r="Q77" s="120" t="n">
        <f aca="false">IF($F$3=1,M77+J77+G77,J77+G77)</f>
        <v>8</v>
      </c>
      <c r="R77" s="120" t="n">
        <f aca="false">IF($F$3=1,N77+K77+H77,K77+H77)</f>
        <v>8</v>
      </c>
      <c r="S77" s="120" t="n">
        <f aca="false">IF($F$3=1,O77+L77+I77,L77+I77)</f>
        <v>6.85</v>
      </c>
      <c r="T77" s="121"/>
      <c r="U77" s="67" t="n">
        <f aca="false">A78-A77</f>
        <v>31</v>
      </c>
      <c r="V77" s="122" t="n">
        <f aca="false">CHOOSE(F$3,A78+24,A77)</f>
        <v>39295</v>
      </c>
      <c r="W77" s="67" t="n">
        <f aca="false">V77-C$3</f>
        <v>-6631</v>
      </c>
      <c r="X77" s="118" t="n">
        <f aca="false">VLOOKUP($A77,Table,MATCH(X$4,Curves,0))</f>
        <v>2</v>
      </c>
      <c r="Y77" s="123" t="n">
        <f aca="false">1/(1+CHOOSE(F$3,(X78+($K$3/10000))/2,(X77+($K$3/10000))/2))^(2*W77/365.25)</f>
        <v>85155292040.5008</v>
      </c>
      <c r="Z77" s="67" t="n">
        <f aca="false">IF(AND(mthbeg&lt;=A77,mthend&gt;=A77),1,0)</f>
        <v>0</v>
      </c>
      <c r="AA77" s="67" t="n">
        <f aca="false">U77*Z77</f>
        <v>0</v>
      </c>
      <c r="AC77" s="110" t="n">
        <f aca="false">F77*(H77-I77)</f>
        <v>0</v>
      </c>
      <c r="AD77" s="49"/>
      <c r="AE77" s="124"/>
    </row>
    <row r="78" customFormat="false" ht="12.75" hidden="false" customHeight="false" outlineLevel="0" collapsed="false">
      <c r="A78" s="115" t="n">
        <f aca="false">EDATE(A77,1)</f>
        <v>39326</v>
      </c>
      <c r="B78" s="116" t="n">
        <f aca="false">'Inputs-Summary'!$B$7</f>
        <v>3017157.21662952</v>
      </c>
      <c r="C78" s="57"/>
      <c r="D78" s="117" t="n">
        <f aca="false">B78+C78</f>
        <v>3017157.21662952</v>
      </c>
      <c r="E78" s="106" t="n">
        <f aca="false">IF(Z78=0,0,IF(AND(Z78=1,$H$3=1),D78*U78,IF($H$3=2,D78,"N/A")))</f>
        <v>0</v>
      </c>
      <c r="F78" s="106" t="n">
        <f aca="false">E78*Y78</f>
        <v>0</v>
      </c>
      <c r="G78" s="118" t="n">
        <f aca="false">VLOOKUP($A78,Table,MATCH(G$4,Curves,0))</f>
        <v>3</v>
      </c>
      <c r="H78" s="119" t="n">
        <f aca="false">G78+$H$7</f>
        <v>3</v>
      </c>
      <c r="I78" s="118" t="n">
        <f aca="false">'Inputs-Summary'!$B$16</f>
        <v>1.85</v>
      </c>
      <c r="J78" s="118" t="n">
        <f aca="false">VLOOKUP($A78,Table,MATCH(J$4,Curves,0))</f>
        <v>5</v>
      </c>
      <c r="K78" s="119" t="n">
        <f aca="false">J78+$K$7</f>
        <v>5</v>
      </c>
      <c r="L78" s="120" t="n">
        <f aca="false">K78</f>
        <v>5</v>
      </c>
      <c r="M78" s="118" t="n">
        <f aca="false">VLOOKUP($A78,Table,MATCH(M$4,Curves,0))</f>
        <v>5</v>
      </c>
      <c r="N78" s="119" t="n">
        <f aca="false">M78+$N$7</f>
        <v>5</v>
      </c>
      <c r="O78" s="120" t="n">
        <f aca="false">N78</f>
        <v>5</v>
      </c>
      <c r="P78" s="109"/>
      <c r="Q78" s="120" t="n">
        <f aca="false">IF($F$3=1,M78+J78+G78,J78+G78)</f>
        <v>8</v>
      </c>
      <c r="R78" s="120" t="n">
        <f aca="false">IF($F$3=1,N78+K78+H78,K78+H78)</f>
        <v>8</v>
      </c>
      <c r="S78" s="120" t="n">
        <f aca="false">IF($F$3=1,O78+L78+I78,L78+I78)</f>
        <v>6.85</v>
      </c>
      <c r="T78" s="121"/>
      <c r="U78" s="67" t="n">
        <f aca="false">A79-A78</f>
        <v>30</v>
      </c>
      <c r="V78" s="122" t="n">
        <f aca="false">CHOOSE(F$3,A79+24,A78)</f>
        <v>39326</v>
      </c>
      <c r="W78" s="67" t="n">
        <f aca="false">V78-C$3</f>
        <v>-6600</v>
      </c>
      <c r="X78" s="118" t="n">
        <f aca="false">VLOOKUP($A78,Table,MATCH(X$4,Curves,0))</f>
        <v>2</v>
      </c>
      <c r="Y78" s="123" t="n">
        <f aca="false">1/(1+CHOOSE(F$3,(X79+($K$3/10000))/2,(X78+($K$3/10000))/2))^(2*W78/365.25)</f>
        <v>75702945848.3913</v>
      </c>
      <c r="Z78" s="67" t="n">
        <f aca="false">IF(AND(mthbeg&lt;=A78,mthend&gt;=A78),1,0)</f>
        <v>0</v>
      </c>
      <c r="AA78" s="67" t="n">
        <f aca="false">U78*Z78</f>
        <v>0</v>
      </c>
      <c r="AC78" s="110" t="n">
        <f aca="false">F78*(H78-I78)</f>
        <v>0</v>
      </c>
      <c r="AD78" s="49"/>
      <c r="AE78" s="124"/>
    </row>
    <row r="79" customFormat="false" ht="12.75" hidden="false" customHeight="false" outlineLevel="0" collapsed="false">
      <c r="A79" s="115" t="n">
        <f aca="false">EDATE(A78,1)</f>
        <v>39356</v>
      </c>
      <c r="B79" s="116" t="n">
        <f aca="false">'Inputs-Summary'!$B$7</f>
        <v>3017157.21662952</v>
      </c>
      <c r="C79" s="57"/>
      <c r="D79" s="117" t="n">
        <f aca="false">B79+C79</f>
        <v>3017157.21662952</v>
      </c>
      <c r="E79" s="106" t="n">
        <f aca="false">IF(Z79=0,0,IF(AND(Z79=1,$H$3=1),D79*U79,IF($H$3=2,D79,"N/A")))</f>
        <v>0</v>
      </c>
      <c r="F79" s="106" t="n">
        <f aca="false">E79*Y79</f>
        <v>0</v>
      </c>
      <c r="G79" s="118" t="n">
        <f aca="false">VLOOKUP($A79,Table,MATCH(G$4,Curves,0))</f>
        <v>3</v>
      </c>
      <c r="H79" s="119" t="n">
        <f aca="false">G79+$H$7</f>
        <v>3</v>
      </c>
      <c r="I79" s="118" t="n">
        <f aca="false">'Inputs-Summary'!$B$16</f>
        <v>1.85</v>
      </c>
      <c r="J79" s="118" t="n">
        <f aca="false">VLOOKUP($A79,Table,MATCH(J$4,Curves,0))</f>
        <v>5</v>
      </c>
      <c r="K79" s="119" t="n">
        <f aca="false">J79+$K$7</f>
        <v>5</v>
      </c>
      <c r="L79" s="120" t="n">
        <f aca="false">K79</f>
        <v>5</v>
      </c>
      <c r="M79" s="118" t="n">
        <f aca="false">VLOOKUP($A79,Table,MATCH(M$4,Curves,0))</f>
        <v>5</v>
      </c>
      <c r="N79" s="119" t="n">
        <f aca="false">M79+$N$7</f>
        <v>5</v>
      </c>
      <c r="O79" s="120" t="n">
        <f aca="false">N79</f>
        <v>5</v>
      </c>
      <c r="P79" s="109"/>
      <c r="Q79" s="120" t="n">
        <f aca="false">IF($F$3=1,M79+J79+G79,J79+G79)</f>
        <v>8</v>
      </c>
      <c r="R79" s="120" t="n">
        <f aca="false">IF($F$3=1,N79+K79+H79,K79+H79)</f>
        <v>8</v>
      </c>
      <c r="S79" s="120" t="n">
        <f aca="false">IF($F$3=1,O79+L79+I79,L79+I79)</f>
        <v>6.85</v>
      </c>
      <c r="T79" s="121"/>
      <c r="U79" s="67" t="n">
        <f aca="false">A80-A79</f>
        <v>31</v>
      </c>
      <c r="V79" s="122" t="n">
        <f aca="false">CHOOSE(F$3,A80+24,A79)</f>
        <v>39356</v>
      </c>
      <c r="W79" s="67" t="n">
        <f aca="false">V79-C$3</f>
        <v>-6570</v>
      </c>
      <c r="X79" s="118" t="n">
        <f aca="false">VLOOKUP($A79,Table,MATCH(X$4,Curves,0))</f>
        <v>2</v>
      </c>
      <c r="Y79" s="123" t="n">
        <f aca="false">1/(1+CHOOSE(F$3,(X80+($K$3/10000))/2,(X79+($K$3/10000))/2))^(2*W79/365.25)</f>
        <v>67555741779.2284</v>
      </c>
      <c r="Z79" s="67" t="n">
        <f aca="false">IF(AND(mthbeg&lt;=A79,mthend&gt;=A79),1,0)</f>
        <v>0</v>
      </c>
      <c r="AA79" s="67" t="n">
        <f aca="false">U79*Z79</f>
        <v>0</v>
      </c>
      <c r="AC79" s="110" t="n">
        <f aca="false">F79*(H79-I79)</f>
        <v>0</v>
      </c>
      <c r="AD79" s="49"/>
      <c r="AE79" s="124"/>
    </row>
    <row r="80" customFormat="false" ht="12.75" hidden="false" customHeight="false" outlineLevel="0" collapsed="false">
      <c r="A80" s="115" t="n">
        <f aca="false">EDATE(A79,1)</f>
        <v>39387</v>
      </c>
      <c r="B80" s="116" t="n">
        <f aca="false">'Inputs-Summary'!$B$7</f>
        <v>3017157.21662952</v>
      </c>
      <c r="C80" s="57"/>
      <c r="D80" s="117" t="n">
        <f aca="false">B80+C80</f>
        <v>3017157.21662952</v>
      </c>
      <c r="E80" s="106" t="n">
        <f aca="false">IF(Z80=0,0,IF(AND(Z80=1,$H$3=1),D80*U80,IF($H$3=2,D80,"N/A")))</f>
        <v>0</v>
      </c>
      <c r="F80" s="106" t="n">
        <f aca="false">E80*Y80</f>
        <v>0</v>
      </c>
      <c r="G80" s="118" t="n">
        <f aca="false">VLOOKUP($A80,Table,MATCH(G$4,Curves,0))</f>
        <v>3</v>
      </c>
      <c r="H80" s="119" t="n">
        <f aca="false">G80+$H$7</f>
        <v>3</v>
      </c>
      <c r="I80" s="118" t="n">
        <f aca="false">'Inputs-Summary'!$B$16</f>
        <v>1.85</v>
      </c>
      <c r="J80" s="118" t="n">
        <f aca="false">VLOOKUP($A80,Table,MATCH(J$4,Curves,0))</f>
        <v>5</v>
      </c>
      <c r="K80" s="119" t="n">
        <f aca="false">J80+$K$7</f>
        <v>5</v>
      </c>
      <c r="L80" s="120" t="n">
        <f aca="false">K80</f>
        <v>5</v>
      </c>
      <c r="M80" s="118" t="n">
        <f aca="false">VLOOKUP($A80,Table,MATCH(M$4,Curves,0))</f>
        <v>5</v>
      </c>
      <c r="N80" s="119" t="n">
        <f aca="false">M80+$N$7</f>
        <v>5</v>
      </c>
      <c r="O80" s="120" t="n">
        <f aca="false">N80</f>
        <v>5</v>
      </c>
      <c r="P80" s="109"/>
      <c r="Q80" s="120" t="n">
        <f aca="false">IF($F$3=1,M80+J80+G80,J80+G80)</f>
        <v>8</v>
      </c>
      <c r="R80" s="120" t="n">
        <f aca="false">IF($F$3=1,N80+K80+H80,K80+H80)</f>
        <v>8</v>
      </c>
      <c r="S80" s="120" t="n">
        <f aca="false">IF($F$3=1,O80+L80+I80,L80+I80)</f>
        <v>6.85</v>
      </c>
      <c r="T80" s="121"/>
      <c r="U80" s="67" t="n">
        <f aca="false">A81-A80</f>
        <v>30</v>
      </c>
      <c r="V80" s="122" t="n">
        <f aca="false">CHOOSE(F$3,A81+24,A80)</f>
        <v>39387</v>
      </c>
      <c r="W80" s="67" t="n">
        <f aca="false">V80-C$3</f>
        <v>-6539</v>
      </c>
      <c r="X80" s="118" t="n">
        <f aca="false">VLOOKUP($A80,Table,MATCH(X$4,Curves,0))</f>
        <v>2</v>
      </c>
      <c r="Y80" s="123" t="n">
        <f aca="false">1/(1+CHOOSE(F$3,(X81+($K$3/10000))/2,(X80+($K$3/10000))/2))^(2*W80/365.25)</f>
        <v>60056968147.4227</v>
      </c>
      <c r="Z80" s="67" t="n">
        <f aca="false">IF(AND(mthbeg&lt;=A80,mthend&gt;=A80),1,0)</f>
        <v>0</v>
      </c>
      <c r="AA80" s="67" t="n">
        <f aca="false">U80*Z80</f>
        <v>0</v>
      </c>
      <c r="AC80" s="110" t="n">
        <f aca="false">F80*(H80-I80)</f>
        <v>0</v>
      </c>
      <c r="AD80" s="49"/>
      <c r="AE80" s="124"/>
    </row>
    <row r="81" customFormat="false" ht="12.75" hidden="false" customHeight="false" outlineLevel="0" collapsed="false">
      <c r="A81" s="115" t="n">
        <f aca="false">EDATE(A80,1)</f>
        <v>39417</v>
      </c>
      <c r="B81" s="116" t="n">
        <f aca="false">'Inputs-Summary'!$B$7</f>
        <v>3017157.21662952</v>
      </c>
      <c r="C81" s="57"/>
      <c r="D81" s="117" t="n">
        <f aca="false">B81+C81</f>
        <v>3017157.21662952</v>
      </c>
      <c r="E81" s="106" t="n">
        <f aca="false">IF(Z81=0,0,IF(AND(Z81=1,$H$3=1),D81*U81,IF($H$3=2,D81,"N/A")))</f>
        <v>0</v>
      </c>
      <c r="F81" s="106" t="n">
        <f aca="false">E81*Y81</f>
        <v>0</v>
      </c>
      <c r="G81" s="118" t="n">
        <f aca="false">VLOOKUP($A81,Table,MATCH(G$4,Curves,0))</f>
        <v>3</v>
      </c>
      <c r="H81" s="119" t="n">
        <f aca="false">G81+$H$7</f>
        <v>3</v>
      </c>
      <c r="I81" s="118" t="n">
        <f aca="false">'Inputs-Summary'!$B$16</f>
        <v>1.85</v>
      </c>
      <c r="J81" s="118" t="n">
        <f aca="false">VLOOKUP($A81,Table,MATCH(J$4,Curves,0))</f>
        <v>5</v>
      </c>
      <c r="K81" s="119" t="n">
        <f aca="false">J81+$K$7</f>
        <v>5</v>
      </c>
      <c r="L81" s="120" t="n">
        <f aca="false">K81</f>
        <v>5</v>
      </c>
      <c r="M81" s="118" t="n">
        <f aca="false">VLOOKUP($A81,Table,MATCH(M$4,Curves,0))</f>
        <v>5</v>
      </c>
      <c r="N81" s="119" t="n">
        <f aca="false">M81+$N$7</f>
        <v>5</v>
      </c>
      <c r="O81" s="120" t="n">
        <f aca="false">N81</f>
        <v>5</v>
      </c>
      <c r="P81" s="109"/>
      <c r="Q81" s="120" t="n">
        <f aca="false">IF($F$3=1,M81+J81+G81,J81+G81)</f>
        <v>8</v>
      </c>
      <c r="R81" s="120" t="n">
        <f aca="false">IF($F$3=1,N81+K81+H81,K81+H81)</f>
        <v>8</v>
      </c>
      <c r="S81" s="120" t="n">
        <f aca="false">IF($F$3=1,O81+L81+I81,L81+I81)</f>
        <v>6.85</v>
      </c>
      <c r="T81" s="121"/>
      <c r="U81" s="67" t="n">
        <f aca="false">A82-A81</f>
        <v>31</v>
      </c>
      <c r="V81" s="122" t="n">
        <f aca="false">CHOOSE(F$3,A82+24,A81)</f>
        <v>39417</v>
      </c>
      <c r="W81" s="67" t="n">
        <f aca="false">V81-C$3</f>
        <v>-6509</v>
      </c>
      <c r="X81" s="118" t="n">
        <f aca="false">VLOOKUP($A81,Table,MATCH(X$4,Curves,0))</f>
        <v>2</v>
      </c>
      <c r="Y81" s="123" t="n">
        <f aca="false">1/(1+CHOOSE(F$3,(X82+($K$3/10000))/2,(X81+($K$3/10000))/2))^(2*W81/365.25)</f>
        <v>53593595159.9018</v>
      </c>
      <c r="Z81" s="67" t="n">
        <f aca="false">IF(AND(mthbeg&lt;=A81,mthend&gt;=A81),1,0)</f>
        <v>0</v>
      </c>
      <c r="AA81" s="67" t="n">
        <f aca="false">U81*Z81</f>
        <v>0</v>
      </c>
      <c r="AC81" s="110" t="n">
        <f aca="false">F81*(H81-I81)</f>
        <v>0</v>
      </c>
      <c r="AD81" s="49"/>
      <c r="AE81" s="124"/>
    </row>
    <row r="82" customFormat="false" ht="12.75" hidden="false" customHeight="false" outlineLevel="0" collapsed="false">
      <c r="A82" s="115" t="n">
        <f aca="false">EDATE(A81,1)</f>
        <v>39448</v>
      </c>
      <c r="B82" s="116" t="n">
        <f aca="false">'Inputs-Summary'!$B$7</f>
        <v>3017157.21662952</v>
      </c>
      <c r="C82" s="57"/>
      <c r="D82" s="117" t="n">
        <f aca="false">B82+C82</f>
        <v>3017157.21662952</v>
      </c>
      <c r="E82" s="106" t="n">
        <f aca="false">IF(Z82=0,0,IF(AND(Z82=1,$H$3=1),D82*U82,IF($H$3=2,D82,"N/A")))</f>
        <v>0</v>
      </c>
      <c r="F82" s="106" t="n">
        <f aca="false">E82*Y82</f>
        <v>0</v>
      </c>
      <c r="G82" s="118" t="n">
        <f aca="false">VLOOKUP($A82,Table,MATCH(G$4,Curves,0))</f>
        <v>3</v>
      </c>
      <c r="H82" s="119" t="n">
        <f aca="false">G82+$H$7</f>
        <v>3</v>
      </c>
      <c r="I82" s="118" t="n">
        <f aca="false">'Inputs-Summary'!$B$16</f>
        <v>1.85</v>
      </c>
      <c r="J82" s="118" t="n">
        <f aca="false">VLOOKUP($A82,Table,MATCH(J$4,Curves,0))</f>
        <v>5</v>
      </c>
      <c r="K82" s="119" t="n">
        <f aca="false">J82+$K$7</f>
        <v>5</v>
      </c>
      <c r="L82" s="120" t="n">
        <f aca="false">K82</f>
        <v>5</v>
      </c>
      <c r="M82" s="118" t="n">
        <f aca="false">VLOOKUP($A82,Table,MATCH(M$4,Curves,0))</f>
        <v>5</v>
      </c>
      <c r="N82" s="119" t="n">
        <f aca="false">M82+$N$7</f>
        <v>5</v>
      </c>
      <c r="O82" s="120" t="n">
        <f aca="false">N82</f>
        <v>5</v>
      </c>
      <c r="P82" s="109"/>
      <c r="Q82" s="120" t="n">
        <f aca="false">IF($F$3=1,M82+J82+G82,J82+G82)</f>
        <v>8</v>
      </c>
      <c r="R82" s="120" t="n">
        <f aca="false">IF($F$3=1,N82+K82+H82,K82+H82)</f>
        <v>8</v>
      </c>
      <c r="S82" s="120" t="n">
        <f aca="false">IF($F$3=1,O82+L82+I82,L82+I82)</f>
        <v>6.85</v>
      </c>
      <c r="T82" s="121"/>
      <c r="U82" s="67" t="n">
        <f aca="false">A83-A82</f>
        <v>31</v>
      </c>
      <c r="V82" s="122" t="n">
        <f aca="false">CHOOSE(F$3,A83+24,A82)</f>
        <v>39448</v>
      </c>
      <c r="W82" s="67" t="n">
        <f aca="false">V82-C$3</f>
        <v>-6478</v>
      </c>
      <c r="X82" s="118" t="n">
        <f aca="false">VLOOKUP($A82,Table,MATCH(X$4,Curves,0))</f>
        <v>2</v>
      </c>
      <c r="Y82" s="123" t="n">
        <f aca="false">1/(1+CHOOSE(F$3,(X83+($K$3/10000))/2,(X82+($K$3/10000))/2))^(2*W82/365.25)</f>
        <v>47644637637.7992</v>
      </c>
      <c r="Z82" s="67" t="n">
        <f aca="false">IF(AND(mthbeg&lt;=A82,mthend&gt;=A82),1,0)</f>
        <v>0</v>
      </c>
      <c r="AA82" s="67" t="n">
        <f aca="false">U82*Z82</f>
        <v>0</v>
      </c>
      <c r="AC82" s="110" t="n">
        <f aca="false">F82*(H82-I82)</f>
        <v>0</v>
      </c>
      <c r="AD82" s="49"/>
      <c r="AE82" s="124"/>
    </row>
    <row r="83" customFormat="false" ht="12.75" hidden="false" customHeight="false" outlineLevel="0" collapsed="false">
      <c r="A83" s="115" t="n">
        <f aca="false">EDATE(A82,1)</f>
        <v>39479</v>
      </c>
      <c r="B83" s="116" t="n">
        <f aca="false">'Inputs-Summary'!$B$7</f>
        <v>3017157.21662952</v>
      </c>
      <c r="C83" s="57"/>
      <c r="D83" s="117" t="n">
        <f aca="false">B83+C83</f>
        <v>3017157.21662952</v>
      </c>
      <c r="E83" s="106" t="n">
        <f aca="false">IF(Z83=0,0,IF(AND(Z83=1,$H$3=1),D83*U83,IF($H$3=2,D83,"N/A")))</f>
        <v>0</v>
      </c>
      <c r="F83" s="106" t="n">
        <f aca="false">E83*Y83</f>
        <v>0</v>
      </c>
      <c r="G83" s="118" t="n">
        <f aca="false">VLOOKUP($A83,Table,MATCH(G$4,Curves,0))</f>
        <v>3</v>
      </c>
      <c r="H83" s="119" t="n">
        <f aca="false">G83+$H$7</f>
        <v>3</v>
      </c>
      <c r="I83" s="118" t="n">
        <f aca="false">'Inputs-Summary'!$B$16</f>
        <v>1.85</v>
      </c>
      <c r="J83" s="118" t="n">
        <f aca="false">VLOOKUP($A83,Table,MATCH(J$4,Curves,0))</f>
        <v>5</v>
      </c>
      <c r="K83" s="119" t="n">
        <f aca="false">J83+$K$7</f>
        <v>5</v>
      </c>
      <c r="L83" s="120" t="n">
        <f aca="false">K83</f>
        <v>5</v>
      </c>
      <c r="M83" s="118" t="n">
        <f aca="false">VLOOKUP($A83,Table,MATCH(M$4,Curves,0))</f>
        <v>5</v>
      </c>
      <c r="N83" s="119" t="n">
        <f aca="false">M83+$N$7</f>
        <v>5</v>
      </c>
      <c r="O83" s="120" t="n">
        <f aca="false">N83</f>
        <v>5</v>
      </c>
      <c r="P83" s="109"/>
      <c r="Q83" s="120" t="n">
        <f aca="false">IF($F$3=1,M83+J83+G83,J83+G83)</f>
        <v>8</v>
      </c>
      <c r="R83" s="120" t="n">
        <f aca="false">IF($F$3=1,N83+K83+H83,K83+H83)</f>
        <v>8</v>
      </c>
      <c r="S83" s="120" t="n">
        <f aca="false">IF($F$3=1,O83+L83+I83,L83+I83)</f>
        <v>6.85</v>
      </c>
      <c r="T83" s="121"/>
      <c r="U83" s="67" t="n">
        <f aca="false">A84-A83</f>
        <v>29</v>
      </c>
      <c r="V83" s="122" t="n">
        <f aca="false">CHOOSE(F$3,A84+24,A83)</f>
        <v>39479</v>
      </c>
      <c r="W83" s="67" t="n">
        <f aca="false">V83-C$3</f>
        <v>-6447</v>
      </c>
      <c r="X83" s="118" t="n">
        <f aca="false">VLOOKUP($A83,Table,MATCH(X$4,Curves,0))</f>
        <v>2</v>
      </c>
      <c r="Y83" s="123" t="n">
        <f aca="false">1/(1+CHOOSE(F$3,(X84+($K$3/10000))/2,(X83+($K$3/10000))/2))^(2*W83/365.25)</f>
        <v>42356021999.726</v>
      </c>
      <c r="Z83" s="67" t="n">
        <f aca="false">IF(AND(mthbeg&lt;=A83,mthend&gt;=A83),1,0)</f>
        <v>0</v>
      </c>
      <c r="AA83" s="67" t="n">
        <f aca="false">U83*Z83</f>
        <v>0</v>
      </c>
      <c r="AC83" s="110" t="n">
        <f aca="false">F83*(H83-I83)</f>
        <v>0</v>
      </c>
      <c r="AD83" s="49"/>
      <c r="AE83" s="124"/>
    </row>
    <row r="84" customFormat="false" ht="12.75" hidden="false" customHeight="false" outlineLevel="0" collapsed="false">
      <c r="A84" s="115" t="n">
        <f aca="false">EDATE(A83,1)</f>
        <v>39508</v>
      </c>
      <c r="B84" s="116" t="n">
        <f aca="false">'Inputs-Summary'!$B$7</f>
        <v>3017157.21662952</v>
      </c>
      <c r="C84" s="57"/>
      <c r="D84" s="117" t="n">
        <f aca="false">B84+C84</f>
        <v>3017157.21662952</v>
      </c>
      <c r="E84" s="106" t="n">
        <f aca="false">IF(Z84=0,0,IF(AND(Z84=1,$H$3=1),D84*U84,IF($H$3=2,D84,"N/A")))</f>
        <v>0</v>
      </c>
      <c r="F84" s="106" t="n">
        <f aca="false">E84*Y84</f>
        <v>0</v>
      </c>
      <c r="G84" s="118" t="n">
        <f aca="false">VLOOKUP($A84,Table,MATCH(G$4,Curves,0))</f>
        <v>3</v>
      </c>
      <c r="H84" s="119" t="n">
        <f aca="false">G84+$H$7</f>
        <v>3</v>
      </c>
      <c r="I84" s="118" t="n">
        <f aca="false">'Inputs-Summary'!$B$16</f>
        <v>1.85</v>
      </c>
      <c r="J84" s="118" t="n">
        <f aca="false">VLOOKUP($A84,Table,MATCH(J$4,Curves,0))</f>
        <v>5</v>
      </c>
      <c r="K84" s="119" t="n">
        <f aca="false">J84+$K$7</f>
        <v>5</v>
      </c>
      <c r="L84" s="120" t="n">
        <f aca="false">K84</f>
        <v>5</v>
      </c>
      <c r="M84" s="118" t="n">
        <f aca="false">VLOOKUP($A84,Table,MATCH(M$4,Curves,0))</f>
        <v>5</v>
      </c>
      <c r="N84" s="119" t="n">
        <f aca="false">M84+$N$7</f>
        <v>5</v>
      </c>
      <c r="O84" s="120" t="n">
        <f aca="false">N84</f>
        <v>5</v>
      </c>
      <c r="P84" s="109"/>
      <c r="Q84" s="120" t="n">
        <f aca="false">IF($F$3=1,M84+J84+G84,J84+G84)</f>
        <v>8</v>
      </c>
      <c r="R84" s="120" t="n">
        <f aca="false">IF($F$3=1,N84+K84+H84,K84+H84)</f>
        <v>8</v>
      </c>
      <c r="S84" s="120" t="n">
        <f aca="false">IF($F$3=1,O84+L84+I84,L84+I84)</f>
        <v>6.85</v>
      </c>
      <c r="T84" s="121"/>
      <c r="U84" s="67" t="n">
        <f aca="false">A85-A84</f>
        <v>31</v>
      </c>
      <c r="V84" s="122" t="n">
        <f aca="false">CHOOSE(F$3,A85+24,A84)</f>
        <v>39508</v>
      </c>
      <c r="W84" s="67" t="n">
        <f aca="false">V84-C$3</f>
        <v>-6418</v>
      </c>
      <c r="X84" s="118" t="n">
        <f aca="false">VLOOKUP($A84,Table,MATCH(X$4,Curves,0))</f>
        <v>2</v>
      </c>
      <c r="Y84" s="123" t="n">
        <f aca="false">1/(1+CHOOSE(F$3,(X85+($K$3/10000))/2,(X84+($K$3/10000))/2))^(2*W84/365.25)</f>
        <v>37941369519.6971</v>
      </c>
      <c r="Z84" s="67" t="n">
        <f aca="false">IF(AND(mthbeg&lt;=A84,mthend&gt;=A84),1,0)</f>
        <v>0</v>
      </c>
      <c r="AA84" s="67" t="n">
        <f aca="false">U84*Z84</f>
        <v>0</v>
      </c>
      <c r="AC84" s="110" t="n">
        <f aca="false">F84*(H84-I84)</f>
        <v>0</v>
      </c>
      <c r="AD84" s="49"/>
      <c r="AE84" s="124"/>
    </row>
    <row r="85" customFormat="false" ht="12.75" hidden="false" customHeight="false" outlineLevel="0" collapsed="false">
      <c r="A85" s="115" t="n">
        <f aca="false">EDATE(A84,1)</f>
        <v>39539</v>
      </c>
      <c r="B85" s="116" t="n">
        <f aca="false">'Inputs-Summary'!$B$7</f>
        <v>3017157.21662952</v>
      </c>
      <c r="C85" s="57"/>
      <c r="D85" s="117" t="n">
        <f aca="false">B85+C85</f>
        <v>3017157.21662952</v>
      </c>
      <c r="E85" s="106" t="n">
        <f aca="false">IF(Z85=0,0,IF(AND(Z85=1,$H$3=1),D85*U85,IF($H$3=2,D85,"N/A")))</f>
        <v>0</v>
      </c>
      <c r="F85" s="106" t="n">
        <f aca="false">E85*Y85</f>
        <v>0</v>
      </c>
      <c r="G85" s="118" t="n">
        <f aca="false">VLOOKUP($A85,Table,MATCH(G$4,Curves,0))</f>
        <v>3</v>
      </c>
      <c r="H85" s="119" t="n">
        <f aca="false">G85+$H$7</f>
        <v>3</v>
      </c>
      <c r="I85" s="118" t="n">
        <f aca="false">'Inputs-Summary'!$B$16</f>
        <v>1.85</v>
      </c>
      <c r="J85" s="118" t="n">
        <f aca="false">VLOOKUP($A85,Table,MATCH(J$4,Curves,0))</f>
        <v>5</v>
      </c>
      <c r="K85" s="119" t="n">
        <f aca="false">J85+$K$7</f>
        <v>5</v>
      </c>
      <c r="L85" s="120" t="n">
        <f aca="false">K85</f>
        <v>5</v>
      </c>
      <c r="M85" s="118" t="n">
        <f aca="false">VLOOKUP($A85,Table,MATCH(M$4,Curves,0))</f>
        <v>5</v>
      </c>
      <c r="N85" s="119" t="n">
        <f aca="false">M85+$N$7</f>
        <v>5</v>
      </c>
      <c r="O85" s="120" t="n">
        <f aca="false">N85</f>
        <v>5</v>
      </c>
      <c r="P85" s="109"/>
      <c r="Q85" s="120" t="n">
        <f aca="false">IF($F$3=1,M85+J85+G85,J85+G85)</f>
        <v>8</v>
      </c>
      <c r="R85" s="120" t="n">
        <f aca="false">IF($F$3=1,N85+K85+H85,K85+H85)</f>
        <v>8</v>
      </c>
      <c r="S85" s="120" t="n">
        <f aca="false">IF($F$3=1,O85+L85+I85,L85+I85)</f>
        <v>6.85</v>
      </c>
      <c r="T85" s="121"/>
      <c r="U85" s="67" t="n">
        <f aca="false">A86-A85</f>
        <v>30</v>
      </c>
      <c r="V85" s="122" t="n">
        <f aca="false">CHOOSE(F$3,A86+24,A85)</f>
        <v>39539</v>
      </c>
      <c r="W85" s="67" t="n">
        <f aca="false">V85-C$3</f>
        <v>-6387</v>
      </c>
      <c r="X85" s="118" t="n">
        <f aca="false">VLOOKUP($A85,Table,MATCH(X$4,Curves,0))</f>
        <v>2</v>
      </c>
      <c r="Y85" s="123" t="n">
        <f aca="false">1/(1+CHOOSE(F$3,(X86+($K$3/10000))/2,(X85+($K$3/10000))/2))^(2*W85/365.25)</f>
        <v>33729829037.4878</v>
      </c>
      <c r="Z85" s="67" t="n">
        <f aca="false">IF(AND(mthbeg&lt;=A85,mthend&gt;=A85),1,0)</f>
        <v>0</v>
      </c>
      <c r="AA85" s="67" t="n">
        <f aca="false">U85*Z85</f>
        <v>0</v>
      </c>
      <c r="AC85" s="110" t="n">
        <f aca="false">F85*(H85-I85)</f>
        <v>0</v>
      </c>
      <c r="AD85" s="49"/>
      <c r="AE85" s="124"/>
    </row>
    <row r="86" customFormat="false" ht="12.75" hidden="false" customHeight="false" outlineLevel="0" collapsed="false">
      <c r="A86" s="115" t="n">
        <f aca="false">EDATE(A85,1)</f>
        <v>39569</v>
      </c>
      <c r="B86" s="116" t="n">
        <f aca="false">'Inputs-Summary'!$B$7</f>
        <v>3017157.21662952</v>
      </c>
      <c r="C86" s="57"/>
      <c r="D86" s="117" t="n">
        <f aca="false">B86+C86</f>
        <v>3017157.21662952</v>
      </c>
      <c r="E86" s="106" t="n">
        <f aca="false">IF(Z86=0,0,IF(AND(Z86=1,$H$3=1),D86*U86,IF($H$3=2,D86,"N/A")))</f>
        <v>0</v>
      </c>
      <c r="F86" s="106" t="n">
        <f aca="false">E86*Y86</f>
        <v>0</v>
      </c>
      <c r="G86" s="118" t="n">
        <f aca="false">VLOOKUP($A86,Table,MATCH(G$4,Curves,0))</f>
        <v>3</v>
      </c>
      <c r="H86" s="119" t="n">
        <f aca="false">G86+$H$7</f>
        <v>3</v>
      </c>
      <c r="I86" s="118" t="n">
        <f aca="false">'Inputs-Summary'!$B$16</f>
        <v>1.85</v>
      </c>
      <c r="J86" s="118" t="n">
        <f aca="false">VLOOKUP($A86,Table,MATCH(J$4,Curves,0))</f>
        <v>5</v>
      </c>
      <c r="K86" s="119" t="n">
        <f aca="false">J86+$K$7</f>
        <v>5</v>
      </c>
      <c r="L86" s="120" t="n">
        <f aca="false">K86</f>
        <v>5</v>
      </c>
      <c r="M86" s="118" t="n">
        <f aca="false">VLOOKUP($A86,Table,MATCH(M$4,Curves,0))</f>
        <v>5</v>
      </c>
      <c r="N86" s="119" t="n">
        <f aca="false">M86+$N$7</f>
        <v>5</v>
      </c>
      <c r="O86" s="120" t="n">
        <f aca="false">N86</f>
        <v>5</v>
      </c>
      <c r="P86" s="109"/>
      <c r="Q86" s="120" t="n">
        <f aca="false">IF($F$3=1,M86+J86+G86,J86+G86)</f>
        <v>8</v>
      </c>
      <c r="R86" s="120" t="n">
        <f aca="false">IF($F$3=1,N86+K86+H86,K86+H86)</f>
        <v>8</v>
      </c>
      <c r="S86" s="120" t="n">
        <f aca="false">IF($F$3=1,O86+L86+I86,L86+I86)</f>
        <v>6.85</v>
      </c>
      <c r="T86" s="121"/>
      <c r="U86" s="67" t="n">
        <f aca="false">A87-A86</f>
        <v>31</v>
      </c>
      <c r="V86" s="122" t="n">
        <f aca="false">CHOOSE(F$3,A87+24,A86)</f>
        <v>39569</v>
      </c>
      <c r="W86" s="67" t="n">
        <f aca="false">V86-C$3</f>
        <v>-6357</v>
      </c>
      <c r="X86" s="118" t="n">
        <f aca="false">VLOOKUP($A86,Table,MATCH(X$4,Curves,0))</f>
        <v>2</v>
      </c>
      <c r="Y86" s="123" t="n">
        <f aca="false">1/(1+CHOOSE(F$3,(X87+($K$3/10000))/2,(X86+($K$3/10000))/2))^(2*W86/365.25)</f>
        <v>30099801205.5889</v>
      </c>
      <c r="Z86" s="67" t="n">
        <f aca="false">IF(AND(mthbeg&lt;=A86,mthend&gt;=A86),1,0)</f>
        <v>0</v>
      </c>
      <c r="AA86" s="67" t="n">
        <f aca="false">U86*Z86</f>
        <v>0</v>
      </c>
      <c r="AC86" s="110" t="n">
        <f aca="false">F86*(H86-I86)</f>
        <v>0</v>
      </c>
      <c r="AD86" s="49"/>
      <c r="AE86" s="124"/>
    </row>
    <row r="87" customFormat="false" ht="12.75" hidden="false" customHeight="false" outlineLevel="0" collapsed="false">
      <c r="A87" s="115" t="n">
        <f aca="false">EDATE(A86,1)</f>
        <v>39600</v>
      </c>
      <c r="B87" s="116" t="n">
        <f aca="false">'Inputs-Summary'!$B$7</f>
        <v>3017157.21662952</v>
      </c>
      <c r="C87" s="57"/>
      <c r="D87" s="117" t="n">
        <f aca="false">B87+C87</f>
        <v>3017157.21662952</v>
      </c>
      <c r="E87" s="106" t="n">
        <f aca="false">IF(Z87=0,0,IF(AND(Z87=1,$H$3=1),D87*U87,IF($H$3=2,D87,"N/A")))</f>
        <v>0</v>
      </c>
      <c r="F87" s="106" t="n">
        <f aca="false">E87*Y87</f>
        <v>0</v>
      </c>
      <c r="G87" s="118" t="n">
        <f aca="false">VLOOKUP($A87,Table,MATCH(G$4,Curves,0))</f>
        <v>3</v>
      </c>
      <c r="H87" s="119" t="n">
        <f aca="false">G87+$H$7</f>
        <v>3</v>
      </c>
      <c r="I87" s="118" t="n">
        <f aca="false">'Inputs-Summary'!$B$16</f>
        <v>1.85</v>
      </c>
      <c r="J87" s="118" t="n">
        <f aca="false">VLOOKUP($A87,Table,MATCH(J$4,Curves,0))</f>
        <v>5</v>
      </c>
      <c r="K87" s="119" t="n">
        <f aca="false">J87+$K$7</f>
        <v>5</v>
      </c>
      <c r="L87" s="120" t="n">
        <f aca="false">K87</f>
        <v>5</v>
      </c>
      <c r="M87" s="118" t="n">
        <f aca="false">VLOOKUP($A87,Table,MATCH(M$4,Curves,0))</f>
        <v>5</v>
      </c>
      <c r="N87" s="119" t="n">
        <f aca="false">M87+$N$7</f>
        <v>5</v>
      </c>
      <c r="O87" s="120" t="n">
        <f aca="false">N87</f>
        <v>5</v>
      </c>
      <c r="P87" s="109"/>
      <c r="Q87" s="120" t="n">
        <f aca="false">IF($F$3=1,M87+J87+G87,J87+G87)</f>
        <v>8</v>
      </c>
      <c r="R87" s="120" t="n">
        <f aca="false">IF($F$3=1,N87+K87+H87,K87+H87)</f>
        <v>8</v>
      </c>
      <c r="S87" s="120" t="n">
        <f aca="false">IF($F$3=1,O87+L87+I87,L87+I87)</f>
        <v>6.85</v>
      </c>
      <c r="T87" s="121"/>
      <c r="U87" s="67" t="n">
        <f aca="false">A88-A87</f>
        <v>30</v>
      </c>
      <c r="V87" s="122" t="n">
        <f aca="false">CHOOSE(F$3,A88+24,A87)</f>
        <v>39600</v>
      </c>
      <c r="W87" s="67" t="n">
        <f aca="false">V87-C$3</f>
        <v>-6326</v>
      </c>
      <c r="X87" s="118" t="n">
        <f aca="false">VLOOKUP($A87,Table,MATCH(X$4,Curves,0))</f>
        <v>2</v>
      </c>
      <c r="Y87" s="123" t="n">
        <f aca="false">1/(1+CHOOSE(F$3,(X88+($K$3/10000))/2,(X87+($K$3/10000))/2))^(2*W87/365.25)</f>
        <v>26758684822.9032</v>
      </c>
      <c r="Z87" s="67" t="n">
        <f aca="false">IF(AND(mthbeg&lt;=A87,mthend&gt;=A87),1,0)</f>
        <v>0</v>
      </c>
      <c r="AA87" s="67" t="n">
        <f aca="false">U87*Z87</f>
        <v>0</v>
      </c>
      <c r="AC87" s="110" t="n">
        <f aca="false">F87*(H87-I87)</f>
        <v>0</v>
      </c>
      <c r="AD87" s="49"/>
      <c r="AE87" s="124"/>
    </row>
    <row r="88" customFormat="false" ht="12.75" hidden="false" customHeight="false" outlineLevel="0" collapsed="false">
      <c r="A88" s="115" t="n">
        <f aca="false">EDATE(A87,1)</f>
        <v>39630</v>
      </c>
      <c r="B88" s="116" t="n">
        <f aca="false">'Inputs-Summary'!$B$7</f>
        <v>3017157.21662952</v>
      </c>
      <c r="C88" s="57"/>
      <c r="D88" s="117" t="n">
        <f aca="false">B88+C88</f>
        <v>3017157.21662952</v>
      </c>
      <c r="E88" s="106" t="n">
        <f aca="false">IF(Z88=0,0,IF(AND(Z88=1,$H$3=1),D88*U88,IF($H$3=2,D88,"N/A")))</f>
        <v>0</v>
      </c>
      <c r="F88" s="106" t="n">
        <f aca="false">E88*Y88</f>
        <v>0</v>
      </c>
      <c r="G88" s="118" t="n">
        <f aca="false">VLOOKUP($A88,Table,MATCH(G$4,Curves,0))</f>
        <v>3</v>
      </c>
      <c r="H88" s="119" t="n">
        <f aca="false">G88+$H$7</f>
        <v>3</v>
      </c>
      <c r="I88" s="118" t="n">
        <f aca="false">'Inputs-Summary'!$B$16</f>
        <v>1.85</v>
      </c>
      <c r="J88" s="118" t="n">
        <f aca="false">VLOOKUP($A88,Table,MATCH(J$4,Curves,0))</f>
        <v>5</v>
      </c>
      <c r="K88" s="119" t="n">
        <f aca="false">J88+$K$7</f>
        <v>5</v>
      </c>
      <c r="L88" s="120" t="n">
        <f aca="false">K88</f>
        <v>5</v>
      </c>
      <c r="M88" s="118" t="n">
        <f aca="false">VLOOKUP($A88,Table,MATCH(M$4,Curves,0))</f>
        <v>5</v>
      </c>
      <c r="N88" s="119" t="n">
        <f aca="false">M88+$N$7</f>
        <v>5</v>
      </c>
      <c r="O88" s="120" t="n">
        <f aca="false">N88</f>
        <v>5</v>
      </c>
      <c r="P88" s="109"/>
      <c r="Q88" s="120" t="n">
        <f aca="false">IF($F$3=1,M88+J88+G88,J88+G88)</f>
        <v>8</v>
      </c>
      <c r="R88" s="120" t="n">
        <f aca="false">IF($F$3=1,N88+K88+H88,K88+H88)</f>
        <v>8</v>
      </c>
      <c r="S88" s="120" t="n">
        <f aca="false">IF($F$3=1,O88+L88+I88,L88+I88)</f>
        <v>6.85</v>
      </c>
      <c r="T88" s="121"/>
      <c r="U88" s="67" t="n">
        <f aca="false">A89-A88</f>
        <v>31</v>
      </c>
      <c r="V88" s="122" t="n">
        <f aca="false">CHOOSE(F$3,A89+24,A88)</f>
        <v>39630</v>
      </c>
      <c r="W88" s="67" t="n">
        <f aca="false">V88-C$3</f>
        <v>-6296</v>
      </c>
      <c r="X88" s="118" t="n">
        <f aca="false">VLOOKUP($A88,Table,MATCH(X$4,Curves,0))</f>
        <v>2</v>
      </c>
      <c r="Y88" s="123" t="n">
        <f aca="false">1/(1+CHOOSE(F$3,(X89+($K$3/10000))/2,(X88+($K$3/10000))/2))^(2*W88/365.25)</f>
        <v>23878896415.3133</v>
      </c>
      <c r="Z88" s="67" t="n">
        <f aca="false">IF(AND(mthbeg&lt;=A88,mthend&gt;=A88),1,0)</f>
        <v>0</v>
      </c>
      <c r="AA88" s="67" t="n">
        <f aca="false">U88*Z88</f>
        <v>0</v>
      </c>
      <c r="AC88" s="110" t="n">
        <f aca="false">F88*(H88-I88)</f>
        <v>0</v>
      </c>
      <c r="AD88" s="49"/>
      <c r="AE88" s="124"/>
    </row>
    <row r="89" customFormat="false" ht="12.75" hidden="false" customHeight="false" outlineLevel="0" collapsed="false">
      <c r="A89" s="115" t="n">
        <f aca="false">EDATE(A88,1)</f>
        <v>39661</v>
      </c>
      <c r="B89" s="116" t="n">
        <f aca="false">'Inputs-Summary'!$B$7</f>
        <v>3017157.21662952</v>
      </c>
      <c r="C89" s="57"/>
      <c r="D89" s="117" t="n">
        <f aca="false">B89+C89</f>
        <v>3017157.21662952</v>
      </c>
      <c r="E89" s="106" t="n">
        <f aca="false">IF(Z89=0,0,IF(AND(Z89=1,$H$3=1),D89*U89,IF($H$3=2,D89,"N/A")))</f>
        <v>0</v>
      </c>
      <c r="F89" s="106" t="n">
        <f aca="false">E89*Y89</f>
        <v>0</v>
      </c>
      <c r="G89" s="118" t="n">
        <f aca="false">VLOOKUP($A89,Table,MATCH(G$4,Curves,0))</f>
        <v>3</v>
      </c>
      <c r="H89" s="119" t="n">
        <f aca="false">G89+$H$7</f>
        <v>3</v>
      </c>
      <c r="I89" s="118" t="n">
        <f aca="false">'Inputs-Summary'!$B$16</f>
        <v>1.85</v>
      </c>
      <c r="J89" s="118" t="n">
        <f aca="false">VLOOKUP($A89,Table,MATCH(J$4,Curves,0))</f>
        <v>5</v>
      </c>
      <c r="K89" s="119" t="n">
        <f aca="false">J89+$K$7</f>
        <v>5</v>
      </c>
      <c r="L89" s="120" t="n">
        <f aca="false">K89</f>
        <v>5</v>
      </c>
      <c r="M89" s="118" t="n">
        <f aca="false">VLOOKUP($A89,Table,MATCH(M$4,Curves,0))</f>
        <v>5</v>
      </c>
      <c r="N89" s="119" t="n">
        <f aca="false">M89+$N$7</f>
        <v>5</v>
      </c>
      <c r="O89" s="120" t="n">
        <f aca="false">N89</f>
        <v>5</v>
      </c>
      <c r="P89" s="109"/>
      <c r="Q89" s="120" t="n">
        <f aca="false">IF($F$3=1,M89+J89+G89,J89+G89)</f>
        <v>8</v>
      </c>
      <c r="R89" s="120" t="n">
        <f aca="false">IF($F$3=1,N89+K89+H89,K89+H89)</f>
        <v>8</v>
      </c>
      <c r="S89" s="120" t="n">
        <f aca="false">IF($F$3=1,O89+L89+I89,L89+I89)</f>
        <v>6.85</v>
      </c>
      <c r="T89" s="121"/>
      <c r="U89" s="67" t="n">
        <f aca="false">A90-A89</f>
        <v>31</v>
      </c>
      <c r="V89" s="122" t="n">
        <f aca="false">CHOOSE(F$3,A90+24,A89)</f>
        <v>39661</v>
      </c>
      <c r="W89" s="67" t="n">
        <f aca="false">V89-C$3</f>
        <v>-6265</v>
      </c>
      <c r="X89" s="118" t="n">
        <f aca="false">VLOOKUP($A89,Table,MATCH(X$4,Curves,0))</f>
        <v>2</v>
      </c>
      <c r="Y89" s="123" t="n">
        <f aca="false">1/(1+CHOOSE(F$3,(X90+($K$3/10000))/2,(X89+($K$3/10000))/2))^(2*W89/365.25)</f>
        <v>21228308410.8037</v>
      </c>
      <c r="Z89" s="67" t="n">
        <f aca="false">IF(AND(mthbeg&lt;=A89,mthend&gt;=A89),1,0)</f>
        <v>0</v>
      </c>
      <c r="AA89" s="67" t="n">
        <f aca="false">U89*Z89</f>
        <v>0</v>
      </c>
      <c r="AC89" s="110" t="n">
        <f aca="false">F89*(H89-I89)</f>
        <v>0</v>
      </c>
      <c r="AD89" s="49"/>
      <c r="AE89" s="124"/>
    </row>
    <row r="90" customFormat="false" ht="12.75" hidden="false" customHeight="false" outlineLevel="0" collapsed="false">
      <c r="A90" s="115" t="n">
        <f aca="false">EDATE(A89,1)</f>
        <v>39692</v>
      </c>
      <c r="B90" s="116" t="n">
        <f aca="false">'Inputs-Summary'!$B$7</f>
        <v>3017157.21662952</v>
      </c>
      <c r="C90" s="57"/>
      <c r="D90" s="117" t="n">
        <f aca="false">B90+C90</f>
        <v>3017157.21662952</v>
      </c>
      <c r="E90" s="106" t="n">
        <f aca="false">IF(Z90=0,0,IF(AND(Z90=1,$H$3=1),D90*U90,IF($H$3=2,D90,"N/A")))</f>
        <v>0</v>
      </c>
      <c r="F90" s="106" t="n">
        <f aca="false">E90*Y90</f>
        <v>0</v>
      </c>
      <c r="G90" s="118" t="n">
        <f aca="false">VLOOKUP($A90,Table,MATCH(G$4,Curves,0))</f>
        <v>3</v>
      </c>
      <c r="H90" s="119" t="n">
        <f aca="false">G90+$H$7</f>
        <v>3</v>
      </c>
      <c r="I90" s="118" t="n">
        <f aca="false">'Inputs-Summary'!$B$16</f>
        <v>1.85</v>
      </c>
      <c r="J90" s="118" t="n">
        <f aca="false">VLOOKUP($A90,Table,MATCH(J$4,Curves,0))</f>
        <v>5</v>
      </c>
      <c r="K90" s="119" t="n">
        <f aca="false">J90+$K$7</f>
        <v>5</v>
      </c>
      <c r="L90" s="120" t="n">
        <f aca="false">K90</f>
        <v>5</v>
      </c>
      <c r="M90" s="118" t="n">
        <f aca="false">VLOOKUP($A90,Table,MATCH(M$4,Curves,0))</f>
        <v>5</v>
      </c>
      <c r="N90" s="119" t="n">
        <f aca="false">M90+$N$7</f>
        <v>5</v>
      </c>
      <c r="O90" s="120" t="n">
        <f aca="false">N90</f>
        <v>5</v>
      </c>
      <c r="P90" s="109"/>
      <c r="Q90" s="120" t="n">
        <f aca="false">IF($F$3=1,M90+J90+G90,J90+G90)</f>
        <v>8</v>
      </c>
      <c r="R90" s="120" t="n">
        <f aca="false">IF($F$3=1,N90+K90+H90,K90+H90)</f>
        <v>8</v>
      </c>
      <c r="S90" s="120" t="n">
        <f aca="false">IF($F$3=1,O90+L90+I90,L90+I90)</f>
        <v>6.85</v>
      </c>
      <c r="T90" s="121"/>
      <c r="U90" s="67" t="n">
        <f aca="false">A91-A90</f>
        <v>30</v>
      </c>
      <c r="V90" s="122" t="n">
        <f aca="false">CHOOSE(F$3,A91+24,A90)</f>
        <v>39692</v>
      </c>
      <c r="W90" s="67" t="n">
        <f aca="false">V90-C$3</f>
        <v>-6234</v>
      </c>
      <c r="X90" s="118" t="n">
        <f aca="false">VLOOKUP($A90,Table,MATCH(X$4,Curves,0))</f>
        <v>2</v>
      </c>
      <c r="Y90" s="123" t="n">
        <f aca="false">1/(1+CHOOSE(F$3,(X91+($K$3/10000))/2,(X90+($K$3/10000))/2))^(2*W90/365.25)</f>
        <v>18871939060.6011</v>
      </c>
      <c r="Z90" s="67" t="n">
        <f aca="false">IF(AND(mthbeg&lt;=A90,mthend&gt;=A90),1,0)</f>
        <v>0</v>
      </c>
      <c r="AA90" s="67" t="n">
        <f aca="false">U90*Z90</f>
        <v>0</v>
      </c>
      <c r="AC90" s="110" t="n">
        <f aca="false">F90*(H90-I90)</f>
        <v>0</v>
      </c>
      <c r="AD90" s="49"/>
      <c r="AE90" s="124"/>
    </row>
    <row r="91" customFormat="false" ht="12.75" hidden="false" customHeight="false" outlineLevel="0" collapsed="false">
      <c r="A91" s="115" t="n">
        <f aca="false">EDATE(A90,1)</f>
        <v>39722</v>
      </c>
      <c r="B91" s="116" t="n">
        <f aca="false">'Inputs-Summary'!$B$7</f>
        <v>3017157.21662952</v>
      </c>
      <c r="C91" s="57"/>
      <c r="D91" s="117" t="n">
        <f aca="false">B91+C91</f>
        <v>3017157.21662952</v>
      </c>
      <c r="E91" s="106" t="n">
        <f aca="false">IF(Z91=0,0,IF(AND(Z91=1,$H$3=1),D91*U91,IF($H$3=2,D91,"N/A")))</f>
        <v>0</v>
      </c>
      <c r="F91" s="106" t="n">
        <f aca="false">E91*Y91</f>
        <v>0</v>
      </c>
      <c r="G91" s="118" t="n">
        <f aca="false">VLOOKUP($A91,Table,MATCH(G$4,Curves,0))</f>
        <v>3</v>
      </c>
      <c r="H91" s="119" t="n">
        <f aca="false">G91+$H$7</f>
        <v>3</v>
      </c>
      <c r="I91" s="118" t="n">
        <f aca="false">'Inputs-Summary'!$B$16</f>
        <v>1.85</v>
      </c>
      <c r="J91" s="118" t="n">
        <f aca="false">VLOOKUP($A91,Table,MATCH(J$4,Curves,0))</f>
        <v>5</v>
      </c>
      <c r="K91" s="119" t="n">
        <f aca="false">J91+$K$7</f>
        <v>5</v>
      </c>
      <c r="L91" s="120" t="n">
        <f aca="false">K91</f>
        <v>5</v>
      </c>
      <c r="M91" s="118" t="n">
        <f aca="false">VLOOKUP($A91,Table,MATCH(M$4,Curves,0))</f>
        <v>5</v>
      </c>
      <c r="N91" s="119" t="n">
        <f aca="false">M91+$N$7</f>
        <v>5</v>
      </c>
      <c r="O91" s="120" t="n">
        <f aca="false">N91</f>
        <v>5</v>
      </c>
      <c r="P91" s="109"/>
      <c r="Q91" s="120" t="n">
        <f aca="false">IF($F$3=1,M91+J91+G91,J91+G91)</f>
        <v>8</v>
      </c>
      <c r="R91" s="120" t="n">
        <f aca="false">IF($F$3=1,N91+K91+H91,K91+H91)</f>
        <v>8</v>
      </c>
      <c r="S91" s="120" t="n">
        <f aca="false">IF($F$3=1,O91+L91+I91,L91+I91)</f>
        <v>6.85</v>
      </c>
      <c r="T91" s="121"/>
      <c r="U91" s="67" t="n">
        <f aca="false">A92-A91</f>
        <v>31</v>
      </c>
      <c r="V91" s="122" t="n">
        <f aca="false">CHOOSE(F$3,A92+24,A91)</f>
        <v>39722</v>
      </c>
      <c r="W91" s="67" t="n">
        <f aca="false">V91-C$3</f>
        <v>-6204</v>
      </c>
      <c r="X91" s="118" t="n">
        <f aca="false">VLOOKUP($A91,Table,MATCH(X$4,Curves,0))</f>
        <v>2</v>
      </c>
      <c r="Y91" s="123" t="n">
        <f aca="false">1/(1+CHOOSE(F$3,(X92+($K$3/10000))/2,(X91+($K$3/10000))/2))^(2*W91/365.25)</f>
        <v>16840927757.3496</v>
      </c>
      <c r="Z91" s="67" t="n">
        <f aca="false">IF(AND(mthbeg&lt;=A91,mthend&gt;=A91),1,0)</f>
        <v>0</v>
      </c>
      <c r="AA91" s="67" t="n">
        <f aca="false">U91*Z91</f>
        <v>0</v>
      </c>
      <c r="AC91" s="110" t="n">
        <f aca="false">F91*(H91-I91)</f>
        <v>0</v>
      </c>
      <c r="AD91" s="49"/>
      <c r="AE91" s="124"/>
    </row>
    <row r="92" customFormat="false" ht="12.75" hidden="false" customHeight="false" outlineLevel="0" collapsed="false">
      <c r="A92" s="115" t="n">
        <f aca="false">EDATE(A91,1)</f>
        <v>39753</v>
      </c>
      <c r="B92" s="116" t="n">
        <f aca="false">'Inputs-Summary'!$B$7</f>
        <v>3017157.21662952</v>
      </c>
      <c r="C92" s="57"/>
      <c r="D92" s="117" t="n">
        <f aca="false">B92+C92</f>
        <v>3017157.21662952</v>
      </c>
      <c r="E92" s="106" t="n">
        <f aca="false">IF(Z92=0,0,IF(AND(Z92=1,$H$3=1),D92*U92,IF($H$3=2,D92,"N/A")))</f>
        <v>0</v>
      </c>
      <c r="F92" s="106" t="n">
        <f aca="false">E92*Y92</f>
        <v>0</v>
      </c>
      <c r="G92" s="118" t="n">
        <f aca="false">VLOOKUP($A92,Table,MATCH(G$4,Curves,0))</f>
        <v>3</v>
      </c>
      <c r="H92" s="119" t="n">
        <f aca="false">G92+$H$7</f>
        <v>3</v>
      </c>
      <c r="I92" s="118" t="n">
        <f aca="false">'Inputs-Summary'!$B$16</f>
        <v>1.85</v>
      </c>
      <c r="J92" s="118" t="n">
        <f aca="false">VLOOKUP($A92,Table,MATCH(J$4,Curves,0))</f>
        <v>5</v>
      </c>
      <c r="K92" s="119" t="n">
        <f aca="false">J92+$K$7</f>
        <v>5</v>
      </c>
      <c r="L92" s="120" t="n">
        <f aca="false">K92</f>
        <v>5</v>
      </c>
      <c r="M92" s="118" t="n">
        <f aca="false">VLOOKUP($A92,Table,MATCH(M$4,Curves,0))</f>
        <v>5</v>
      </c>
      <c r="N92" s="119" t="n">
        <f aca="false">M92+$N$7</f>
        <v>5</v>
      </c>
      <c r="O92" s="120" t="n">
        <f aca="false">N92</f>
        <v>5</v>
      </c>
      <c r="P92" s="109"/>
      <c r="Q92" s="120" t="n">
        <f aca="false">IF($F$3=1,M92+J92+G92,J92+G92)</f>
        <v>8</v>
      </c>
      <c r="R92" s="120" t="n">
        <f aca="false">IF($F$3=1,N92+K92+H92,K92+H92)</f>
        <v>8</v>
      </c>
      <c r="S92" s="120" t="n">
        <f aca="false">IF($F$3=1,O92+L92+I92,L92+I92)</f>
        <v>6.85</v>
      </c>
      <c r="T92" s="121"/>
      <c r="U92" s="67" t="n">
        <f aca="false">A93-A92</f>
        <v>30</v>
      </c>
      <c r="V92" s="122" t="n">
        <f aca="false">CHOOSE(F$3,A93+24,A92)</f>
        <v>39753</v>
      </c>
      <c r="W92" s="67" t="n">
        <f aca="false">V92-C$3</f>
        <v>-6173</v>
      </c>
      <c r="X92" s="118" t="n">
        <f aca="false">VLOOKUP($A92,Table,MATCH(X$4,Curves,0))</f>
        <v>2</v>
      </c>
      <c r="Y92" s="123" t="n">
        <f aca="false">1/(1+CHOOSE(F$3,(X93+($K$3/10000))/2,(X92+($K$3/10000))/2))^(2*W92/365.25)</f>
        <v>14971563264.0299</v>
      </c>
      <c r="Z92" s="67" t="n">
        <f aca="false">IF(AND(mthbeg&lt;=A92,mthend&gt;=A92),1,0)</f>
        <v>0</v>
      </c>
      <c r="AA92" s="67" t="n">
        <f aca="false">U92*Z92</f>
        <v>0</v>
      </c>
      <c r="AC92" s="110" t="n">
        <f aca="false">F92*(H92-I92)</f>
        <v>0</v>
      </c>
      <c r="AD92" s="49"/>
      <c r="AE92" s="124"/>
    </row>
    <row r="93" customFormat="false" ht="12.75" hidden="false" customHeight="false" outlineLevel="0" collapsed="false">
      <c r="A93" s="115" t="n">
        <f aca="false">EDATE(A92,1)</f>
        <v>39783</v>
      </c>
      <c r="B93" s="116" t="n">
        <f aca="false">'Inputs-Summary'!$B$7</f>
        <v>3017157.21662952</v>
      </c>
      <c r="C93" s="57"/>
      <c r="D93" s="117" t="n">
        <f aca="false">B93+C93</f>
        <v>3017157.21662952</v>
      </c>
      <c r="E93" s="106" t="n">
        <f aca="false">IF(Z93=0,0,IF(AND(Z93=1,$H$3=1),D93*U93,IF($H$3=2,D93,"N/A")))</f>
        <v>0</v>
      </c>
      <c r="F93" s="106" t="n">
        <f aca="false">E93*Y93</f>
        <v>0</v>
      </c>
      <c r="G93" s="118" t="n">
        <f aca="false">VLOOKUP($A93,Table,MATCH(G$4,Curves,0))</f>
        <v>3</v>
      </c>
      <c r="H93" s="119" t="n">
        <f aca="false">G93+$H$7</f>
        <v>3</v>
      </c>
      <c r="I93" s="118" t="n">
        <f aca="false">'Inputs-Summary'!$B$16</f>
        <v>1.85</v>
      </c>
      <c r="J93" s="118" t="n">
        <f aca="false">VLOOKUP($A93,Table,MATCH(J$4,Curves,0))</f>
        <v>5</v>
      </c>
      <c r="K93" s="119" t="n">
        <f aca="false">J93+$K$7</f>
        <v>5</v>
      </c>
      <c r="L93" s="120" t="n">
        <f aca="false">K93</f>
        <v>5</v>
      </c>
      <c r="M93" s="118" t="n">
        <f aca="false">VLOOKUP($A93,Table,MATCH(M$4,Curves,0))</f>
        <v>5</v>
      </c>
      <c r="N93" s="119" t="n">
        <f aca="false">M93+$N$7</f>
        <v>5</v>
      </c>
      <c r="O93" s="120" t="n">
        <f aca="false">N93</f>
        <v>5</v>
      </c>
      <c r="P93" s="109"/>
      <c r="Q93" s="120" t="n">
        <f aca="false">IF($F$3=1,M93+J93+G93,J93+G93)</f>
        <v>8</v>
      </c>
      <c r="R93" s="120" t="n">
        <f aca="false">IF($F$3=1,N93+K93+H93,K93+H93)</f>
        <v>8</v>
      </c>
      <c r="S93" s="120" t="n">
        <f aca="false">IF($F$3=1,O93+L93+I93,L93+I93)</f>
        <v>6.85</v>
      </c>
      <c r="T93" s="121"/>
      <c r="U93" s="67" t="n">
        <f aca="false">A94-A93</f>
        <v>31</v>
      </c>
      <c r="V93" s="122" t="n">
        <f aca="false">CHOOSE(F$3,A94+24,A93)</f>
        <v>39783</v>
      </c>
      <c r="W93" s="67" t="n">
        <f aca="false">V93-C$3</f>
        <v>-6143</v>
      </c>
      <c r="X93" s="118" t="n">
        <f aca="false">VLOOKUP($A93,Table,MATCH(X$4,Curves,0))</f>
        <v>2</v>
      </c>
      <c r="Y93" s="123" t="n">
        <f aca="false">1/(1+CHOOSE(F$3,(X94+($K$3/10000))/2,(X93+($K$3/10000))/2))^(2*W93/365.25)</f>
        <v>13360313136.5817</v>
      </c>
      <c r="Z93" s="67" t="n">
        <f aca="false">IF(AND(mthbeg&lt;=A93,mthend&gt;=A93),1,0)</f>
        <v>0</v>
      </c>
      <c r="AA93" s="67" t="n">
        <f aca="false">U93*Z93</f>
        <v>0</v>
      </c>
      <c r="AC93" s="110" t="n">
        <f aca="false">F93*(H93-I93)</f>
        <v>0</v>
      </c>
      <c r="AD93" s="49"/>
      <c r="AE93" s="124"/>
    </row>
    <row r="94" customFormat="false" ht="12.75" hidden="false" customHeight="false" outlineLevel="0" collapsed="false">
      <c r="A94" s="115" t="n">
        <f aca="false">EDATE(A93,1)</f>
        <v>39814</v>
      </c>
      <c r="B94" s="116" t="n">
        <f aca="false">'Inputs-Summary'!$B$7</f>
        <v>3017157.21662952</v>
      </c>
      <c r="C94" s="57"/>
      <c r="D94" s="117" t="n">
        <f aca="false">B94+C94</f>
        <v>3017157.21662952</v>
      </c>
      <c r="E94" s="106" t="n">
        <f aca="false">IF(Z94=0,0,IF(AND(Z94=1,$H$3=1),D94*U94,IF($H$3=2,D94,"N/A")))</f>
        <v>0</v>
      </c>
      <c r="F94" s="106" t="n">
        <f aca="false">E94*Y94</f>
        <v>0</v>
      </c>
      <c r="G94" s="118" t="n">
        <f aca="false">VLOOKUP($A94,Table,MATCH(G$4,Curves,0))</f>
        <v>3</v>
      </c>
      <c r="H94" s="119" t="n">
        <f aca="false">G94+$H$7</f>
        <v>3</v>
      </c>
      <c r="I94" s="118" t="n">
        <f aca="false">'Inputs-Summary'!$B$16</f>
        <v>1.85</v>
      </c>
      <c r="J94" s="118" t="n">
        <f aca="false">VLOOKUP($A94,Table,MATCH(J$4,Curves,0))</f>
        <v>5</v>
      </c>
      <c r="K94" s="119" t="n">
        <f aca="false">J94+$K$7</f>
        <v>5</v>
      </c>
      <c r="L94" s="120" t="n">
        <f aca="false">K94</f>
        <v>5</v>
      </c>
      <c r="M94" s="118" t="n">
        <f aca="false">VLOOKUP($A94,Table,MATCH(M$4,Curves,0))</f>
        <v>5</v>
      </c>
      <c r="N94" s="119" t="n">
        <f aca="false">M94+$N$7</f>
        <v>5</v>
      </c>
      <c r="O94" s="120" t="n">
        <f aca="false">N94</f>
        <v>5</v>
      </c>
      <c r="P94" s="109"/>
      <c r="Q94" s="120" t="n">
        <f aca="false">IF($F$3=1,M94+J94+G94,J94+G94)</f>
        <v>8</v>
      </c>
      <c r="R94" s="120" t="n">
        <f aca="false">IF($F$3=1,N94+K94+H94,K94+H94)</f>
        <v>8</v>
      </c>
      <c r="S94" s="120" t="n">
        <f aca="false">IF($F$3=1,O94+L94+I94,L94+I94)</f>
        <v>6.85</v>
      </c>
      <c r="T94" s="121"/>
      <c r="U94" s="67" t="n">
        <f aca="false">A95-A94</f>
        <v>31</v>
      </c>
      <c r="V94" s="122" t="n">
        <f aca="false">CHOOSE(F$3,A95+24,A94)</f>
        <v>39814</v>
      </c>
      <c r="W94" s="67" t="n">
        <f aca="false">V94-C$3</f>
        <v>-6112</v>
      </c>
      <c r="X94" s="118" t="n">
        <f aca="false">VLOOKUP($A94,Table,MATCH(X$4,Curves,0))</f>
        <v>2</v>
      </c>
      <c r="Y94" s="123" t="n">
        <f aca="false">1/(1+CHOOSE(F$3,(X95+($K$3/10000))/2,(X94+($K$3/10000))/2))^(2*W94/365.25)</f>
        <v>11877301312.2326</v>
      </c>
      <c r="Z94" s="67" t="n">
        <f aca="false">IF(AND(mthbeg&lt;=A94,mthend&gt;=A94),1,0)</f>
        <v>0</v>
      </c>
      <c r="AA94" s="67" t="n">
        <f aca="false">U94*Z94</f>
        <v>0</v>
      </c>
      <c r="AC94" s="110" t="n">
        <f aca="false">F94*(H94-I94)</f>
        <v>0</v>
      </c>
      <c r="AD94" s="49"/>
      <c r="AE94" s="124"/>
    </row>
    <row r="95" customFormat="false" ht="12.75" hidden="false" customHeight="false" outlineLevel="0" collapsed="false">
      <c r="A95" s="115" t="n">
        <f aca="false">EDATE(A94,1)</f>
        <v>39845</v>
      </c>
      <c r="B95" s="116" t="n">
        <f aca="false">'Inputs-Summary'!$B$7</f>
        <v>3017157.21662952</v>
      </c>
      <c r="C95" s="57"/>
      <c r="D95" s="117" t="n">
        <f aca="false">B95+C95</f>
        <v>3017157.21662952</v>
      </c>
      <c r="E95" s="106" t="n">
        <f aca="false">IF(Z95=0,0,IF(AND(Z95=1,$H$3=1),D95*U95,IF($H$3=2,D95,"N/A")))</f>
        <v>0</v>
      </c>
      <c r="F95" s="106" t="n">
        <f aca="false">E95*Y95</f>
        <v>0</v>
      </c>
      <c r="G95" s="118" t="n">
        <f aca="false">VLOOKUP($A95,Table,MATCH(G$4,Curves,0))</f>
        <v>3</v>
      </c>
      <c r="H95" s="119" t="n">
        <f aca="false">G95+$H$7</f>
        <v>3</v>
      </c>
      <c r="I95" s="118" t="n">
        <f aca="false">'Inputs-Summary'!$B$16</f>
        <v>1.85</v>
      </c>
      <c r="J95" s="118" t="n">
        <f aca="false">VLOOKUP($A95,Table,MATCH(J$4,Curves,0))</f>
        <v>5</v>
      </c>
      <c r="K95" s="119" t="n">
        <f aca="false">J95+$K$7</f>
        <v>5</v>
      </c>
      <c r="L95" s="120" t="n">
        <f aca="false">K95</f>
        <v>5</v>
      </c>
      <c r="M95" s="118" t="n">
        <f aca="false">VLOOKUP($A95,Table,MATCH(M$4,Curves,0))</f>
        <v>5</v>
      </c>
      <c r="N95" s="119" t="n">
        <f aca="false">M95+$N$7</f>
        <v>5</v>
      </c>
      <c r="O95" s="120" t="n">
        <f aca="false">N95</f>
        <v>5</v>
      </c>
      <c r="P95" s="109"/>
      <c r="Q95" s="120" t="n">
        <f aca="false">IF($F$3=1,M95+J95+G95,J95+G95)</f>
        <v>8</v>
      </c>
      <c r="R95" s="120" t="n">
        <f aca="false">IF($F$3=1,N95+K95+H95,K95+H95)</f>
        <v>8</v>
      </c>
      <c r="S95" s="120" t="n">
        <f aca="false">IF($F$3=1,O95+L95+I95,L95+I95)</f>
        <v>6.85</v>
      </c>
      <c r="T95" s="121"/>
      <c r="U95" s="67" t="n">
        <f aca="false">A96-A95</f>
        <v>28</v>
      </c>
      <c r="V95" s="122" t="n">
        <f aca="false">CHOOSE(F$3,A96+24,A95)</f>
        <v>39845</v>
      </c>
      <c r="W95" s="67" t="n">
        <f aca="false">V95-C$3</f>
        <v>-6081</v>
      </c>
      <c r="X95" s="118" t="n">
        <f aca="false">VLOOKUP($A95,Table,MATCH(X$4,Curves,0))</f>
        <v>2</v>
      </c>
      <c r="Y95" s="123" t="n">
        <f aca="false">1/(1+CHOOSE(F$3,(X96+($K$3/10000))/2,(X95+($K$3/10000))/2))^(2*W95/365.25)</f>
        <v>10558905694.755</v>
      </c>
      <c r="Z95" s="67" t="n">
        <f aca="false">IF(AND(mthbeg&lt;=A95,mthend&gt;=A95),1,0)</f>
        <v>0</v>
      </c>
      <c r="AA95" s="67" t="n">
        <f aca="false">U95*Z95</f>
        <v>0</v>
      </c>
      <c r="AC95" s="110" t="n">
        <f aca="false">F95*(H95-I95)</f>
        <v>0</v>
      </c>
      <c r="AD95" s="49"/>
      <c r="AE95" s="124"/>
    </row>
    <row r="96" customFormat="false" ht="12.75" hidden="false" customHeight="false" outlineLevel="0" collapsed="false">
      <c r="A96" s="115" t="n">
        <f aca="false">EDATE(A95,1)</f>
        <v>39873</v>
      </c>
      <c r="B96" s="116" t="n">
        <f aca="false">'Inputs-Summary'!$B$7</f>
        <v>3017157.21662952</v>
      </c>
      <c r="C96" s="57"/>
      <c r="D96" s="117" t="n">
        <f aca="false">B96+C96</f>
        <v>3017157.21662952</v>
      </c>
      <c r="E96" s="106" t="n">
        <f aca="false">IF(Z96=0,0,IF(AND(Z96=1,$H$3=1),D96*U96,IF($H$3=2,D96,"N/A")))</f>
        <v>0</v>
      </c>
      <c r="F96" s="106" t="n">
        <f aca="false">E96*Y96</f>
        <v>0</v>
      </c>
      <c r="G96" s="118" t="n">
        <f aca="false">VLOOKUP($A96,Table,MATCH(G$4,Curves,0))</f>
        <v>3</v>
      </c>
      <c r="H96" s="119" t="n">
        <f aca="false">G96+$H$7</f>
        <v>3</v>
      </c>
      <c r="I96" s="118" t="n">
        <f aca="false">'Inputs-Summary'!$B$16</f>
        <v>1.85</v>
      </c>
      <c r="J96" s="118" t="n">
        <f aca="false">VLOOKUP($A96,Table,MATCH(J$4,Curves,0))</f>
        <v>5</v>
      </c>
      <c r="K96" s="119" t="n">
        <f aca="false">J96+$K$7</f>
        <v>5</v>
      </c>
      <c r="L96" s="120" t="n">
        <f aca="false">K96</f>
        <v>5</v>
      </c>
      <c r="M96" s="118" t="n">
        <f aca="false">VLOOKUP($A96,Table,MATCH(M$4,Curves,0))</f>
        <v>5</v>
      </c>
      <c r="N96" s="119" t="n">
        <f aca="false">M96+$N$7</f>
        <v>5</v>
      </c>
      <c r="O96" s="120" t="n">
        <f aca="false">N96</f>
        <v>5</v>
      </c>
      <c r="P96" s="109"/>
      <c r="Q96" s="120" t="n">
        <f aca="false">IF($F$3=1,M96+J96+G96,J96+G96)</f>
        <v>8</v>
      </c>
      <c r="R96" s="120" t="n">
        <f aca="false">IF($F$3=1,N96+K96+H96,K96+H96)</f>
        <v>8</v>
      </c>
      <c r="S96" s="120" t="n">
        <f aca="false">IF($F$3=1,O96+L96+I96,L96+I96)</f>
        <v>6.85</v>
      </c>
      <c r="T96" s="121"/>
      <c r="U96" s="67" t="n">
        <f aca="false">A97-A96</f>
        <v>31</v>
      </c>
      <c r="V96" s="122" t="n">
        <f aca="false">CHOOSE(F$3,A97+24,A96)</f>
        <v>39873</v>
      </c>
      <c r="W96" s="67" t="n">
        <f aca="false">V96-C$3</f>
        <v>-6053</v>
      </c>
      <c r="X96" s="118" t="n">
        <f aca="false">VLOOKUP($A96,Table,MATCH(X$4,Curves,0))</f>
        <v>2</v>
      </c>
      <c r="Y96" s="123" t="n">
        <f aca="false">1/(1+CHOOSE(F$3,(X97+($K$3/10000))/2,(X96+($K$3/10000))/2))^(2*W96/365.25)</f>
        <v>9494346977.58271</v>
      </c>
      <c r="Z96" s="67" t="n">
        <f aca="false">IF(AND(mthbeg&lt;=A96,mthend&gt;=A96),1,0)</f>
        <v>0</v>
      </c>
      <c r="AA96" s="67" t="n">
        <f aca="false">U96*Z96</f>
        <v>0</v>
      </c>
      <c r="AC96" s="110" t="n">
        <f aca="false">F96*(H96-I96)</f>
        <v>0</v>
      </c>
      <c r="AD96" s="49"/>
      <c r="AE96" s="124"/>
    </row>
    <row r="97" customFormat="false" ht="12.75" hidden="false" customHeight="false" outlineLevel="0" collapsed="false">
      <c r="A97" s="115" t="n">
        <f aca="false">EDATE(A96,1)</f>
        <v>39904</v>
      </c>
      <c r="B97" s="116" t="n">
        <f aca="false">'Inputs-Summary'!$B$7</f>
        <v>3017157.21662952</v>
      </c>
      <c r="C97" s="57"/>
      <c r="D97" s="117" t="n">
        <f aca="false">B97+C97</f>
        <v>3017157.21662952</v>
      </c>
      <c r="E97" s="106" t="n">
        <f aca="false">IF(Z97=0,0,IF(AND(Z97=1,$H$3=1),D97*U97,IF($H$3=2,D97,"N/A")))</f>
        <v>0</v>
      </c>
      <c r="F97" s="106" t="n">
        <f aca="false">E97*Y97</f>
        <v>0</v>
      </c>
      <c r="G97" s="118" t="n">
        <f aca="false">VLOOKUP($A97,Table,MATCH(G$4,Curves,0))</f>
        <v>3</v>
      </c>
      <c r="H97" s="119" t="n">
        <f aca="false">G97+$H$7</f>
        <v>3</v>
      </c>
      <c r="I97" s="118" t="n">
        <f aca="false">'Inputs-Summary'!$B$16</f>
        <v>1.85</v>
      </c>
      <c r="J97" s="118" t="n">
        <f aca="false">VLOOKUP($A97,Table,MATCH(J$4,Curves,0))</f>
        <v>5</v>
      </c>
      <c r="K97" s="119" t="n">
        <f aca="false">J97+$K$7</f>
        <v>5</v>
      </c>
      <c r="L97" s="120" t="n">
        <f aca="false">K97</f>
        <v>5</v>
      </c>
      <c r="M97" s="118" t="n">
        <f aca="false">VLOOKUP($A97,Table,MATCH(M$4,Curves,0))</f>
        <v>5</v>
      </c>
      <c r="N97" s="119" t="n">
        <f aca="false">M97+$N$7</f>
        <v>5</v>
      </c>
      <c r="O97" s="120" t="n">
        <f aca="false">N97</f>
        <v>5</v>
      </c>
      <c r="P97" s="109"/>
      <c r="Q97" s="120" t="n">
        <f aca="false">IF($F$3=1,M97+J97+G97,J97+G97)</f>
        <v>8</v>
      </c>
      <c r="R97" s="120" t="n">
        <f aca="false">IF($F$3=1,N97+K97+H97,K97+H97)</f>
        <v>8</v>
      </c>
      <c r="S97" s="120" t="n">
        <f aca="false">IF($F$3=1,O97+L97+I97,L97+I97)</f>
        <v>6.85</v>
      </c>
      <c r="T97" s="121"/>
      <c r="U97" s="67" t="n">
        <f aca="false">A98-A97</f>
        <v>30</v>
      </c>
      <c r="V97" s="122" t="n">
        <f aca="false">CHOOSE(F$3,A98+24,A97)</f>
        <v>39904</v>
      </c>
      <c r="W97" s="67" t="n">
        <f aca="false">V97-C$3</f>
        <v>-6022</v>
      </c>
      <c r="X97" s="118" t="n">
        <f aca="false">VLOOKUP($A97,Table,MATCH(X$4,Curves,0))</f>
        <v>2</v>
      </c>
      <c r="Y97" s="123" t="n">
        <f aca="false">1/(1+CHOOSE(F$3,(X98+($K$3/10000))/2,(X97+($K$3/10000))/2))^(2*W97/365.25)</f>
        <v>8440462335.188</v>
      </c>
      <c r="Z97" s="67" t="n">
        <f aca="false">IF(AND(mthbeg&lt;=A97,mthend&gt;=A97),1,0)</f>
        <v>0</v>
      </c>
      <c r="AA97" s="67" t="n">
        <f aca="false">U97*Z97</f>
        <v>0</v>
      </c>
      <c r="AC97" s="110" t="n">
        <f aca="false">F97*(H97-I97)</f>
        <v>0</v>
      </c>
      <c r="AD97" s="49"/>
      <c r="AE97" s="124"/>
    </row>
    <row r="98" customFormat="false" ht="12.75" hidden="false" customHeight="false" outlineLevel="0" collapsed="false">
      <c r="A98" s="115" t="n">
        <f aca="false">EDATE(A97,1)</f>
        <v>39934</v>
      </c>
      <c r="B98" s="116" t="n">
        <f aca="false">'Inputs-Summary'!$B$7</f>
        <v>3017157.21662952</v>
      </c>
      <c r="C98" s="57"/>
      <c r="D98" s="117" t="n">
        <f aca="false">B98+C98</f>
        <v>3017157.21662952</v>
      </c>
      <c r="E98" s="106" t="n">
        <f aca="false">IF(Z98=0,0,IF(AND(Z98=1,$H$3=1),D98*U98,IF($H$3=2,D98,"N/A")))</f>
        <v>0</v>
      </c>
      <c r="F98" s="106" t="n">
        <f aca="false">E98*Y98</f>
        <v>0</v>
      </c>
      <c r="G98" s="118" t="n">
        <f aca="false">VLOOKUP($A98,Table,MATCH(G$4,Curves,0))</f>
        <v>3</v>
      </c>
      <c r="H98" s="119" t="n">
        <f aca="false">G98+$H$7</f>
        <v>3</v>
      </c>
      <c r="I98" s="118" t="n">
        <f aca="false">'Inputs-Summary'!$B$16</f>
        <v>1.85</v>
      </c>
      <c r="J98" s="118" t="n">
        <f aca="false">VLOOKUP($A98,Table,MATCH(J$4,Curves,0))</f>
        <v>5</v>
      </c>
      <c r="K98" s="119" t="n">
        <f aca="false">J98+$K$7</f>
        <v>5</v>
      </c>
      <c r="L98" s="120" t="n">
        <f aca="false">K98</f>
        <v>5</v>
      </c>
      <c r="M98" s="118" t="n">
        <f aca="false">VLOOKUP($A98,Table,MATCH(M$4,Curves,0))</f>
        <v>5</v>
      </c>
      <c r="N98" s="119" t="n">
        <f aca="false">M98+$N$7</f>
        <v>5</v>
      </c>
      <c r="O98" s="120" t="n">
        <f aca="false">N98</f>
        <v>5</v>
      </c>
      <c r="P98" s="109"/>
      <c r="Q98" s="120" t="n">
        <f aca="false">IF($F$3=1,M98+J98+G98,J98+G98)</f>
        <v>8</v>
      </c>
      <c r="R98" s="120" t="n">
        <f aca="false">IF($F$3=1,N98+K98+H98,K98+H98)</f>
        <v>8</v>
      </c>
      <c r="S98" s="120" t="n">
        <f aca="false">IF($F$3=1,O98+L98+I98,L98+I98)</f>
        <v>6.85</v>
      </c>
      <c r="T98" s="121"/>
      <c r="U98" s="67" t="n">
        <f aca="false">A99-A98</f>
        <v>31</v>
      </c>
      <c r="V98" s="122" t="n">
        <f aca="false">CHOOSE(F$3,A99+24,A98)</f>
        <v>39934</v>
      </c>
      <c r="W98" s="67" t="n">
        <f aca="false">V98-C$3</f>
        <v>-5992</v>
      </c>
      <c r="X98" s="118" t="n">
        <f aca="false">VLOOKUP($A98,Table,MATCH(X$4,Curves,0))</f>
        <v>2</v>
      </c>
      <c r="Y98" s="123" t="n">
        <f aca="false">1/(1+CHOOSE(F$3,(X99+($K$3/10000))/2,(X98+($K$3/10000))/2))^(2*W98/365.25)</f>
        <v>7532093865.34567</v>
      </c>
      <c r="Z98" s="67" t="n">
        <f aca="false">IF(AND(mthbeg&lt;=A98,mthend&gt;=A98),1,0)</f>
        <v>0</v>
      </c>
      <c r="AA98" s="67" t="n">
        <f aca="false">U98*Z98</f>
        <v>0</v>
      </c>
      <c r="AC98" s="110" t="n">
        <f aca="false">F98*(H98-I98)</f>
        <v>0</v>
      </c>
      <c r="AD98" s="49"/>
      <c r="AE98" s="124"/>
    </row>
    <row r="99" customFormat="false" ht="12.75" hidden="false" customHeight="false" outlineLevel="0" collapsed="false">
      <c r="A99" s="115" t="n">
        <f aca="false">EDATE(A98,1)</f>
        <v>39965</v>
      </c>
      <c r="B99" s="116" t="n">
        <f aca="false">'Inputs-Summary'!$B$7</f>
        <v>3017157.21662952</v>
      </c>
      <c r="C99" s="57"/>
      <c r="D99" s="117" t="n">
        <f aca="false">B99+C99</f>
        <v>3017157.21662952</v>
      </c>
      <c r="E99" s="106" t="n">
        <f aca="false">IF(Z99=0,0,IF(AND(Z99=1,$H$3=1),D99*U99,IF($H$3=2,D99,"N/A")))</f>
        <v>0</v>
      </c>
      <c r="F99" s="106" t="n">
        <f aca="false">E99*Y99</f>
        <v>0</v>
      </c>
      <c r="G99" s="118" t="n">
        <f aca="false">VLOOKUP($A99,Table,MATCH(G$4,Curves,0))</f>
        <v>3</v>
      </c>
      <c r="H99" s="119" t="n">
        <f aca="false">G99+$H$7</f>
        <v>3</v>
      </c>
      <c r="I99" s="118" t="n">
        <f aca="false">'Inputs-Summary'!$B$16</f>
        <v>1.85</v>
      </c>
      <c r="J99" s="118" t="n">
        <f aca="false">VLOOKUP($A99,Table,MATCH(J$4,Curves,0))</f>
        <v>5</v>
      </c>
      <c r="K99" s="119" t="n">
        <f aca="false">J99+$K$7</f>
        <v>5</v>
      </c>
      <c r="L99" s="120" t="n">
        <f aca="false">K99</f>
        <v>5</v>
      </c>
      <c r="M99" s="118" t="n">
        <f aca="false">VLOOKUP($A99,Table,MATCH(M$4,Curves,0))</f>
        <v>5</v>
      </c>
      <c r="N99" s="119" t="n">
        <f aca="false">M99+$N$7</f>
        <v>5</v>
      </c>
      <c r="O99" s="120" t="n">
        <f aca="false">N99</f>
        <v>5</v>
      </c>
      <c r="P99" s="109"/>
      <c r="Q99" s="120" t="n">
        <f aca="false">IF($F$3=1,M99+J99+G99,J99+G99)</f>
        <v>8</v>
      </c>
      <c r="R99" s="120" t="n">
        <f aca="false">IF($F$3=1,N99+K99+H99,K99+H99)</f>
        <v>8</v>
      </c>
      <c r="S99" s="120" t="n">
        <f aca="false">IF($F$3=1,O99+L99+I99,L99+I99)</f>
        <v>6.85</v>
      </c>
      <c r="T99" s="121"/>
      <c r="U99" s="67" t="n">
        <f aca="false">A100-A99</f>
        <v>30</v>
      </c>
      <c r="V99" s="122" t="n">
        <f aca="false">CHOOSE(F$3,A100+24,A99)</f>
        <v>39965</v>
      </c>
      <c r="W99" s="67" t="n">
        <f aca="false">V99-C$3</f>
        <v>-5961</v>
      </c>
      <c r="X99" s="118" t="n">
        <f aca="false">VLOOKUP($A99,Table,MATCH(X$4,Curves,0))</f>
        <v>2</v>
      </c>
      <c r="Y99" s="123" t="n">
        <f aca="false">1/(1+CHOOSE(F$3,(X100+($K$3/10000))/2,(X99+($K$3/10000))/2))^(2*W99/365.25)</f>
        <v>6696021824.95093</v>
      </c>
      <c r="Z99" s="67" t="n">
        <f aca="false">IF(AND(mthbeg&lt;=A99,mthend&gt;=A99),1,0)</f>
        <v>0</v>
      </c>
      <c r="AA99" s="67" t="n">
        <f aca="false">U99*Z99</f>
        <v>0</v>
      </c>
      <c r="AC99" s="110" t="n">
        <f aca="false">F99*(H99-I99)</f>
        <v>0</v>
      </c>
      <c r="AD99" s="49"/>
      <c r="AE99" s="124"/>
    </row>
    <row r="100" customFormat="false" ht="12.75" hidden="false" customHeight="false" outlineLevel="0" collapsed="false">
      <c r="A100" s="115" t="n">
        <f aca="false">EDATE(A99,1)</f>
        <v>39995</v>
      </c>
      <c r="B100" s="116" t="n">
        <f aca="false">'Inputs-Summary'!$B$7</f>
        <v>3017157.21662952</v>
      </c>
      <c r="C100" s="57"/>
      <c r="D100" s="117" t="n">
        <f aca="false">B100+C100</f>
        <v>3017157.21662952</v>
      </c>
      <c r="E100" s="106" t="n">
        <f aca="false">IF(Z100=0,0,IF(AND(Z100=1,$H$3=1),D100*U100,IF($H$3=2,D100,"N/A")))</f>
        <v>0</v>
      </c>
      <c r="F100" s="106" t="n">
        <f aca="false">E100*Y100</f>
        <v>0</v>
      </c>
      <c r="G100" s="118" t="n">
        <f aca="false">VLOOKUP($A100,Table,MATCH(G$4,Curves,0))</f>
        <v>3</v>
      </c>
      <c r="H100" s="119" t="n">
        <f aca="false">G100+$H$7</f>
        <v>3</v>
      </c>
      <c r="I100" s="118" t="n">
        <f aca="false">'Inputs-Summary'!$B$16</f>
        <v>1.85</v>
      </c>
      <c r="J100" s="118" t="n">
        <f aca="false">VLOOKUP($A100,Table,MATCH(J$4,Curves,0))</f>
        <v>5</v>
      </c>
      <c r="K100" s="119" t="n">
        <f aca="false">J100+$K$7</f>
        <v>5</v>
      </c>
      <c r="L100" s="120" t="n">
        <f aca="false">K100</f>
        <v>5</v>
      </c>
      <c r="M100" s="118" t="n">
        <f aca="false">VLOOKUP($A100,Table,MATCH(M$4,Curves,0))</f>
        <v>5</v>
      </c>
      <c r="N100" s="119" t="n">
        <f aca="false">M100+$N$7</f>
        <v>5</v>
      </c>
      <c r="O100" s="120" t="n">
        <f aca="false">N100</f>
        <v>5</v>
      </c>
      <c r="P100" s="109"/>
      <c r="Q100" s="120" t="n">
        <f aca="false">IF($F$3=1,M100+J100+G100,J100+G100)</f>
        <v>8</v>
      </c>
      <c r="R100" s="120" t="n">
        <f aca="false">IF($F$3=1,N100+K100+H100,K100+H100)</f>
        <v>8</v>
      </c>
      <c r="S100" s="120" t="n">
        <f aca="false">IF($F$3=1,O100+L100+I100,L100+I100)</f>
        <v>6.85</v>
      </c>
      <c r="T100" s="121"/>
      <c r="U100" s="67" t="n">
        <f aca="false">A101-A100</f>
        <v>31</v>
      </c>
      <c r="V100" s="122" t="n">
        <f aca="false">CHOOSE(F$3,A101+24,A100)</f>
        <v>39995</v>
      </c>
      <c r="W100" s="67" t="n">
        <f aca="false">V100-C$3</f>
        <v>-5931</v>
      </c>
      <c r="X100" s="118" t="n">
        <f aca="false">VLOOKUP($A100,Table,MATCH(X$4,Curves,0))</f>
        <v>2</v>
      </c>
      <c r="Y100" s="123" t="n">
        <f aca="false">1/(1+CHOOSE(F$3,(X101+($K$3/10000))/2,(X100+($K$3/10000))/2))^(2*W100/365.25)</f>
        <v>5975391264.96328</v>
      </c>
      <c r="Z100" s="67" t="n">
        <f aca="false">IF(AND(mthbeg&lt;=A100,mthend&gt;=A100),1,0)</f>
        <v>0</v>
      </c>
      <c r="AA100" s="67" t="n">
        <f aca="false">U100*Z100</f>
        <v>0</v>
      </c>
      <c r="AC100" s="110" t="n">
        <f aca="false">F100*(H100-I100)</f>
        <v>0</v>
      </c>
      <c r="AD100" s="49"/>
      <c r="AE100" s="124"/>
    </row>
    <row r="101" customFormat="false" ht="12.75" hidden="false" customHeight="false" outlineLevel="0" collapsed="false">
      <c r="A101" s="115" t="n">
        <f aca="false">EDATE(A100,1)</f>
        <v>40026</v>
      </c>
      <c r="B101" s="116" t="n">
        <f aca="false">'Inputs-Summary'!$B$7</f>
        <v>3017157.21662952</v>
      </c>
      <c r="C101" s="57"/>
      <c r="D101" s="117" t="n">
        <f aca="false">B101+C101</f>
        <v>3017157.21662952</v>
      </c>
      <c r="E101" s="106" t="n">
        <f aca="false">IF(Z101=0,0,IF(AND(Z101=1,$H$3=1),D101*U101,IF($H$3=2,D101,"N/A")))</f>
        <v>0</v>
      </c>
      <c r="F101" s="106" t="n">
        <f aca="false">E101*Y101</f>
        <v>0</v>
      </c>
      <c r="G101" s="118" t="n">
        <f aca="false">VLOOKUP($A101,Table,MATCH(G$4,Curves,0))</f>
        <v>3</v>
      </c>
      <c r="H101" s="119" t="n">
        <f aca="false">G101+$H$7</f>
        <v>3</v>
      </c>
      <c r="I101" s="118" t="n">
        <f aca="false">'Inputs-Summary'!$B$16</f>
        <v>1.85</v>
      </c>
      <c r="J101" s="118" t="n">
        <f aca="false">VLOOKUP($A101,Table,MATCH(J$4,Curves,0))</f>
        <v>5</v>
      </c>
      <c r="K101" s="119" t="n">
        <f aca="false">J101+$K$7</f>
        <v>5</v>
      </c>
      <c r="L101" s="120" t="n">
        <f aca="false">K101</f>
        <v>5</v>
      </c>
      <c r="M101" s="118" t="n">
        <f aca="false">VLOOKUP($A101,Table,MATCH(M$4,Curves,0))</f>
        <v>5</v>
      </c>
      <c r="N101" s="119" t="n">
        <f aca="false">M101+$N$7</f>
        <v>5</v>
      </c>
      <c r="O101" s="120" t="n">
        <f aca="false">N101</f>
        <v>5</v>
      </c>
      <c r="P101" s="109"/>
      <c r="Q101" s="120" t="n">
        <f aca="false">IF($F$3=1,M101+J101+G101,J101+G101)</f>
        <v>8</v>
      </c>
      <c r="R101" s="120" t="n">
        <f aca="false">IF($F$3=1,N101+K101+H101,K101+H101)</f>
        <v>8</v>
      </c>
      <c r="S101" s="120" t="n">
        <f aca="false">IF($F$3=1,O101+L101+I101,L101+I101)</f>
        <v>6.85</v>
      </c>
      <c r="T101" s="121"/>
      <c r="U101" s="67" t="n">
        <f aca="false">A102-A101</f>
        <v>31</v>
      </c>
      <c r="V101" s="122" t="n">
        <f aca="false">CHOOSE(F$3,A102+24,A101)</f>
        <v>40026</v>
      </c>
      <c r="W101" s="67" t="n">
        <f aca="false">V101-C$3</f>
        <v>-5900</v>
      </c>
      <c r="X101" s="118" t="n">
        <f aca="false">VLOOKUP($A101,Table,MATCH(X$4,Curves,0))</f>
        <v>2</v>
      </c>
      <c r="Y101" s="123" t="n">
        <f aca="false">1/(1+CHOOSE(F$3,(X102+($K$3/10000))/2,(X101+($K$3/10000))/2))^(2*W101/365.25)</f>
        <v>5312115201.71078</v>
      </c>
      <c r="Z101" s="67" t="n">
        <f aca="false">IF(AND(mthbeg&lt;=A101,mthend&gt;=A101),1,0)</f>
        <v>0</v>
      </c>
      <c r="AA101" s="67" t="n">
        <f aca="false">U101*Z101</f>
        <v>0</v>
      </c>
      <c r="AC101" s="110" t="n">
        <f aca="false">F101*(H101-I101)</f>
        <v>0</v>
      </c>
      <c r="AD101" s="49"/>
      <c r="AE101" s="124"/>
    </row>
    <row r="102" customFormat="false" ht="12.75" hidden="false" customHeight="false" outlineLevel="0" collapsed="false">
      <c r="A102" s="115" t="n">
        <f aca="false">EDATE(A101,1)</f>
        <v>40057</v>
      </c>
      <c r="B102" s="116" t="n">
        <f aca="false">'Inputs-Summary'!$B$7</f>
        <v>3017157.21662952</v>
      </c>
      <c r="C102" s="57"/>
      <c r="D102" s="117" t="n">
        <f aca="false">B102+C102</f>
        <v>3017157.21662952</v>
      </c>
      <c r="E102" s="106" t="n">
        <f aca="false">IF(Z102=0,0,IF(AND(Z102=1,$H$3=1),D102*U102,IF($H$3=2,D102,"N/A")))</f>
        <v>0</v>
      </c>
      <c r="F102" s="106" t="n">
        <f aca="false">E102*Y102</f>
        <v>0</v>
      </c>
      <c r="G102" s="118" t="n">
        <f aca="false">VLOOKUP($A102,Table,MATCH(G$4,Curves,0))</f>
        <v>3</v>
      </c>
      <c r="H102" s="119" t="n">
        <f aca="false">G102+$H$7</f>
        <v>3</v>
      </c>
      <c r="I102" s="118" t="n">
        <f aca="false">'Inputs-Summary'!$B$16</f>
        <v>1.85</v>
      </c>
      <c r="J102" s="118" t="n">
        <f aca="false">VLOOKUP($A102,Table,MATCH(J$4,Curves,0))</f>
        <v>5</v>
      </c>
      <c r="K102" s="119" t="n">
        <f aca="false">J102+$K$7</f>
        <v>5</v>
      </c>
      <c r="L102" s="120" t="n">
        <f aca="false">K102</f>
        <v>5</v>
      </c>
      <c r="M102" s="118" t="n">
        <f aca="false">VLOOKUP($A102,Table,MATCH(M$4,Curves,0))</f>
        <v>5</v>
      </c>
      <c r="N102" s="119" t="n">
        <f aca="false">M102+$N$7</f>
        <v>5</v>
      </c>
      <c r="O102" s="120" t="n">
        <f aca="false">N102</f>
        <v>5</v>
      </c>
      <c r="P102" s="109"/>
      <c r="Q102" s="120" t="n">
        <f aca="false">IF($F$3=1,M102+J102+G102,J102+G102)</f>
        <v>8</v>
      </c>
      <c r="R102" s="120" t="n">
        <f aca="false">IF($F$3=1,N102+K102+H102,K102+H102)</f>
        <v>8</v>
      </c>
      <c r="S102" s="120" t="n">
        <f aca="false">IF($F$3=1,O102+L102+I102,L102+I102)</f>
        <v>6.85</v>
      </c>
      <c r="T102" s="121"/>
      <c r="U102" s="67" t="n">
        <f aca="false">A103-A102</f>
        <v>30</v>
      </c>
      <c r="V102" s="122" t="n">
        <f aca="false">CHOOSE(F$3,A103+24,A102)</f>
        <v>40057</v>
      </c>
      <c r="W102" s="67" t="n">
        <f aca="false">V102-C$3</f>
        <v>-5869</v>
      </c>
      <c r="X102" s="118" t="n">
        <f aca="false">VLOOKUP($A102,Table,MATCH(X$4,Curves,0))</f>
        <v>2</v>
      </c>
      <c r="Y102" s="123" t="n">
        <f aca="false">1/(1+CHOOSE(F$3,(X103+($K$3/10000))/2,(X102+($K$3/10000))/2))^(2*W102/365.25)</f>
        <v>4722463628.73445</v>
      </c>
      <c r="Z102" s="67" t="n">
        <f aca="false">IF(AND(mthbeg&lt;=A102,mthend&gt;=A102),1,0)</f>
        <v>0</v>
      </c>
      <c r="AA102" s="67" t="n">
        <f aca="false">U102*Z102</f>
        <v>0</v>
      </c>
      <c r="AC102" s="110" t="n">
        <f aca="false">F102*(H102-I102)</f>
        <v>0</v>
      </c>
      <c r="AD102" s="49"/>
      <c r="AE102" s="124"/>
    </row>
    <row r="103" customFormat="false" ht="12.75" hidden="false" customHeight="false" outlineLevel="0" collapsed="false">
      <c r="A103" s="115" t="n">
        <f aca="false">EDATE(A102,1)</f>
        <v>40087</v>
      </c>
      <c r="B103" s="116" t="n">
        <f aca="false">'Inputs-Summary'!$B$7</f>
        <v>3017157.21662952</v>
      </c>
      <c r="C103" s="57"/>
      <c r="D103" s="117" t="n">
        <f aca="false">B103+C103</f>
        <v>3017157.21662952</v>
      </c>
      <c r="E103" s="106" t="n">
        <f aca="false">IF(Z103=0,0,IF(AND(Z103=1,$H$3=1),D103*U103,IF($H$3=2,D103,"N/A")))</f>
        <v>0</v>
      </c>
      <c r="F103" s="106" t="n">
        <f aca="false">E103*Y103</f>
        <v>0</v>
      </c>
      <c r="G103" s="118" t="n">
        <f aca="false">VLOOKUP($A103,Table,MATCH(G$4,Curves,0))</f>
        <v>3</v>
      </c>
      <c r="H103" s="119" t="n">
        <f aca="false">G103+$H$7</f>
        <v>3</v>
      </c>
      <c r="I103" s="118" t="n">
        <f aca="false">'Inputs-Summary'!$B$16</f>
        <v>1.85</v>
      </c>
      <c r="J103" s="118" t="n">
        <f aca="false">VLOOKUP($A103,Table,MATCH(J$4,Curves,0))</f>
        <v>5</v>
      </c>
      <c r="K103" s="119" t="n">
        <f aca="false">J103+$K$7</f>
        <v>5</v>
      </c>
      <c r="L103" s="120" t="n">
        <f aca="false">K103</f>
        <v>5</v>
      </c>
      <c r="M103" s="118" t="n">
        <f aca="false">VLOOKUP($A103,Table,MATCH(M$4,Curves,0))</f>
        <v>5</v>
      </c>
      <c r="N103" s="119" t="n">
        <f aca="false">M103+$N$7</f>
        <v>5</v>
      </c>
      <c r="O103" s="120" t="n">
        <f aca="false">N103</f>
        <v>5</v>
      </c>
      <c r="P103" s="109"/>
      <c r="Q103" s="120" t="n">
        <f aca="false">IF($F$3=1,M103+J103+G103,J103+G103)</f>
        <v>8</v>
      </c>
      <c r="R103" s="120" t="n">
        <f aca="false">IF($F$3=1,N103+K103+H103,K103+H103)</f>
        <v>8</v>
      </c>
      <c r="S103" s="120" t="n">
        <f aca="false">IF($F$3=1,O103+L103+I103,L103+I103)</f>
        <v>6.85</v>
      </c>
      <c r="T103" s="121"/>
      <c r="U103" s="67" t="n">
        <f aca="false">A104-A103</f>
        <v>31</v>
      </c>
      <c r="V103" s="122" t="n">
        <f aca="false">CHOOSE(F$3,A104+24,A103)</f>
        <v>40087</v>
      </c>
      <c r="W103" s="67" t="n">
        <f aca="false">V103-C$3</f>
        <v>-5839</v>
      </c>
      <c r="X103" s="118" t="n">
        <f aca="false">VLOOKUP($A103,Table,MATCH(X$4,Curves,0))</f>
        <v>2</v>
      </c>
      <c r="Y103" s="123" t="n">
        <f aca="false">1/(1+CHOOSE(F$3,(X104+($K$3/10000))/2,(X103+($K$3/10000))/2))^(2*W103/365.25)</f>
        <v>4214228784.48478</v>
      </c>
      <c r="Z103" s="67" t="n">
        <f aca="false">IF(AND(mthbeg&lt;=A103,mthend&gt;=A103),1,0)</f>
        <v>0</v>
      </c>
      <c r="AA103" s="67" t="n">
        <f aca="false">U103*Z103</f>
        <v>0</v>
      </c>
      <c r="AC103" s="110" t="n">
        <f aca="false">F103*(H103-I103)</f>
        <v>0</v>
      </c>
      <c r="AD103" s="49"/>
      <c r="AE103" s="124"/>
    </row>
    <row r="104" customFormat="false" ht="12.75" hidden="false" customHeight="false" outlineLevel="0" collapsed="false">
      <c r="A104" s="115" t="n">
        <f aca="false">EDATE(A103,1)</f>
        <v>40118</v>
      </c>
      <c r="B104" s="116" t="n">
        <f aca="false">'Inputs-Summary'!$B$7</f>
        <v>3017157.21662952</v>
      </c>
      <c r="C104" s="57"/>
      <c r="D104" s="117" t="n">
        <f aca="false">B104+C104</f>
        <v>3017157.21662952</v>
      </c>
      <c r="E104" s="106" t="n">
        <f aca="false">IF(Z104=0,0,IF(AND(Z104=1,$H$3=1),D104*U104,IF($H$3=2,D104,"N/A")))</f>
        <v>0</v>
      </c>
      <c r="F104" s="106" t="n">
        <f aca="false">E104*Y104</f>
        <v>0</v>
      </c>
      <c r="G104" s="118" t="n">
        <f aca="false">VLOOKUP($A104,Table,MATCH(G$4,Curves,0))</f>
        <v>3</v>
      </c>
      <c r="H104" s="119" t="n">
        <f aca="false">G104+$H$7</f>
        <v>3</v>
      </c>
      <c r="I104" s="118" t="n">
        <f aca="false">'Inputs-Summary'!$B$16</f>
        <v>1.85</v>
      </c>
      <c r="J104" s="118" t="n">
        <f aca="false">VLOOKUP($A104,Table,MATCH(J$4,Curves,0))</f>
        <v>5</v>
      </c>
      <c r="K104" s="119" t="n">
        <f aca="false">J104+$K$7</f>
        <v>5</v>
      </c>
      <c r="L104" s="120" t="n">
        <f aca="false">K104</f>
        <v>5</v>
      </c>
      <c r="M104" s="118" t="n">
        <f aca="false">VLOOKUP($A104,Table,MATCH(M$4,Curves,0))</f>
        <v>5</v>
      </c>
      <c r="N104" s="119" t="n">
        <f aca="false">M104+$N$7</f>
        <v>5</v>
      </c>
      <c r="O104" s="120" t="n">
        <f aca="false">N104</f>
        <v>5</v>
      </c>
      <c r="P104" s="109"/>
      <c r="Q104" s="120" t="n">
        <f aca="false">IF($F$3=1,M104+J104+G104,J104+G104)</f>
        <v>8</v>
      </c>
      <c r="R104" s="120" t="n">
        <f aca="false">IF($F$3=1,N104+K104+H104,K104+H104)</f>
        <v>8</v>
      </c>
      <c r="S104" s="120" t="n">
        <f aca="false">IF($F$3=1,O104+L104+I104,L104+I104)</f>
        <v>6.85</v>
      </c>
      <c r="T104" s="121"/>
      <c r="U104" s="67" t="n">
        <f aca="false">A105-A104</f>
        <v>30</v>
      </c>
      <c r="V104" s="122" t="n">
        <f aca="false">CHOOSE(F$3,A105+24,A104)</f>
        <v>40118</v>
      </c>
      <c r="W104" s="67" t="n">
        <f aca="false">V104-C$3</f>
        <v>-5808</v>
      </c>
      <c r="X104" s="118" t="n">
        <f aca="false">VLOOKUP($A104,Table,MATCH(X$4,Curves,0))</f>
        <v>2</v>
      </c>
      <c r="Y104" s="123" t="n">
        <f aca="false">1/(1+CHOOSE(F$3,(X105+($K$3/10000))/2,(X104+($K$3/10000))/2))^(2*W104/365.25)</f>
        <v>3746444006.23803</v>
      </c>
      <c r="Z104" s="67" t="n">
        <f aca="false">IF(AND(mthbeg&lt;=A104,mthend&gt;=A104),1,0)</f>
        <v>0</v>
      </c>
      <c r="AA104" s="67" t="n">
        <f aca="false">U104*Z104</f>
        <v>0</v>
      </c>
      <c r="AC104" s="110" t="n">
        <f aca="false">F104*(H104-I104)</f>
        <v>0</v>
      </c>
      <c r="AD104" s="49"/>
      <c r="AE104" s="124"/>
    </row>
    <row r="105" customFormat="false" ht="12.75" hidden="false" customHeight="false" outlineLevel="0" collapsed="false">
      <c r="A105" s="115" t="n">
        <f aca="false">EDATE(A104,1)</f>
        <v>40148</v>
      </c>
      <c r="B105" s="116" t="n">
        <f aca="false">'Inputs-Summary'!$B$7</f>
        <v>3017157.21662952</v>
      </c>
      <c r="C105" s="57"/>
      <c r="D105" s="117" t="n">
        <f aca="false">B105+C105</f>
        <v>3017157.21662952</v>
      </c>
      <c r="E105" s="106" t="n">
        <f aca="false">IF(Z105=0,0,IF(AND(Z105=1,$H$3=1),D105*U105,IF($H$3=2,D105,"N/A")))</f>
        <v>0</v>
      </c>
      <c r="F105" s="106" t="n">
        <f aca="false">E105*Y105</f>
        <v>0</v>
      </c>
      <c r="G105" s="118" t="n">
        <f aca="false">VLOOKUP($A105,Table,MATCH(G$4,Curves,0))</f>
        <v>3</v>
      </c>
      <c r="H105" s="119" t="n">
        <f aca="false">G105+$H$7</f>
        <v>3</v>
      </c>
      <c r="I105" s="118" t="n">
        <f aca="false">'Inputs-Summary'!$B$16</f>
        <v>1.85</v>
      </c>
      <c r="J105" s="118" t="n">
        <f aca="false">VLOOKUP($A105,Table,MATCH(J$4,Curves,0))</f>
        <v>5</v>
      </c>
      <c r="K105" s="119" t="n">
        <f aca="false">J105+$K$7</f>
        <v>5</v>
      </c>
      <c r="L105" s="120" t="n">
        <f aca="false">K105</f>
        <v>5</v>
      </c>
      <c r="M105" s="118" t="n">
        <f aca="false">VLOOKUP($A105,Table,MATCH(M$4,Curves,0))</f>
        <v>5</v>
      </c>
      <c r="N105" s="119" t="n">
        <f aca="false">M105+$N$7</f>
        <v>5</v>
      </c>
      <c r="O105" s="120" t="n">
        <f aca="false">N105</f>
        <v>5</v>
      </c>
      <c r="P105" s="109"/>
      <c r="Q105" s="120" t="n">
        <f aca="false">IF($F$3=1,M105+J105+G105,J105+G105)</f>
        <v>8</v>
      </c>
      <c r="R105" s="120" t="n">
        <f aca="false">IF($F$3=1,N105+K105+H105,K105+H105)</f>
        <v>8</v>
      </c>
      <c r="S105" s="120" t="n">
        <f aca="false">IF($F$3=1,O105+L105+I105,L105+I105)</f>
        <v>6.85</v>
      </c>
      <c r="T105" s="121"/>
      <c r="U105" s="67" t="n">
        <f aca="false">A106-A105</f>
        <v>31</v>
      </c>
      <c r="V105" s="122" t="n">
        <f aca="false">CHOOSE(F$3,A106+24,A105)</f>
        <v>40148</v>
      </c>
      <c r="W105" s="67" t="n">
        <f aca="false">V105-C$3</f>
        <v>-5778</v>
      </c>
      <c r="X105" s="118" t="n">
        <f aca="false">VLOOKUP($A105,Table,MATCH(X$4,Curves,0))</f>
        <v>2</v>
      </c>
      <c r="Y105" s="123" t="n">
        <f aca="false">1/(1+CHOOSE(F$3,(X106+($K$3/10000))/2,(X105+($K$3/10000))/2))^(2*W105/365.25)</f>
        <v>3343249077.554</v>
      </c>
      <c r="Z105" s="67" t="n">
        <f aca="false">IF(AND(mthbeg&lt;=A105,mthend&gt;=A105),1,0)</f>
        <v>0</v>
      </c>
      <c r="AA105" s="67" t="n">
        <f aca="false">U105*Z105</f>
        <v>0</v>
      </c>
      <c r="AC105" s="110" t="n">
        <f aca="false">F105*(H105-I105)</f>
        <v>0</v>
      </c>
      <c r="AD105" s="49"/>
      <c r="AE105" s="124"/>
    </row>
    <row r="106" customFormat="false" ht="12.75" hidden="false" customHeight="false" outlineLevel="0" collapsed="false">
      <c r="A106" s="115" t="n">
        <f aca="false">EDATE(A105,1)</f>
        <v>40179</v>
      </c>
      <c r="B106" s="116" t="n">
        <f aca="false">'Inputs-Summary'!$B$7</f>
        <v>3017157.21662952</v>
      </c>
      <c r="C106" s="57"/>
      <c r="D106" s="117" t="n">
        <f aca="false">B106+C106</f>
        <v>3017157.21662952</v>
      </c>
      <c r="E106" s="106" t="n">
        <f aca="false">IF(Z106=0,0,IF(AND(Z106=1,$H$3=1),D106*U106,IF($H$3=2,D106,"N/A")))</f>
        <v>0</v>
      </c>
      <c r="F106" s="106" t="n">
        <f aca="false">E106*Y106</f>
        <v>0</v>
      </c>
      <c r="G106" s="118" t="n">
        <f aca="false">VLOOKUP($A106,Table,MATCH(G$4,Curves,0))</f>
        <v>3</v>
      </c>
      <c r="H106" s="119" t="n">
        <f aca="false">G106+$H$7</f>
        <v>3</v>
      </c>
      <c r="I106" s="118" t="n">
        <f aca="false">'Inputs-Summary'!$B$16</f>
        <v>1.85</v>
      </c>
      <c r="J106" s="118" t="n">
        <f aca="false">VLOOKUP($A106,Table,MATCH(J$4,Curves,0))</f>
        <v>5</v>
      </c>
      <c r="K106" s="119" t="n">
        <f aca="false">J106+$K$7</f>
        <v>5</v>
      </c>
      <c r="L106" s="120" t="n">
        <f aca="false">K106</f>
        <v>5</v>
      </c>
      <c r="M106" s="118" t="n">
        <f aca="false">VLOOKUP($A106,Table,MATCH(M$4,Curves,0))</f>
        <v>5</v>
      </c>
      <c r="N106" s="119" t="n">
        <f aca="false">M106+$N$7</f>
        <v>5</v>
      </c>
      <c r="O106" s="120" t="n">
        <f aca="false">N106</f>
        <v>5</v>
      </c>
      <c r="P106" s="109"/>
      <c r="Q106" s="120" t="n">
        <f aca="false">IF($F$3=1,M106+J106+G106,J106+G106)</f>
        <v>8</v>
      </c>
      <c r="R106" s="120" t="n">
        <f aca="false">IF($F$3=1,N106+K106+H106,K106+H106)</f>
        <v>8</v>
      </c>
      <c r="S106" s="120" t="n">
        <f aca="false">IF($F$3=1,O106+L106+I106,L106+I106)</f>
        <v>6.85</v>
      </c>
      <c r="T106" s="121"/>
      <c r="U106" s="67" t="n">
        <f aca="false">A107-A106</f>
        <v>31</v>
      </c>
      <c r="V106" s="122" t="n">
        <f aca="false">CHOOSE(F$3,A107+24,A106)</f>
        <v>40179</v>
      </c>
      <c r="W106" s="67" t="n">
        <f aca="false">V106-C$3</f>
        <v>-5747</v>
      </c>
      <c r="X106" s="118" t="n">
        <f aca="false">VLOOKUP($A106,Table,MATCH(X$4,Curves,0))</f>
        <v>2</v>
      </c>
      <c r="Y106" s="123" t="n">
        <f aca="false">1/(1+CHOOSE(F$3,(X107+($K$3/10000))/2,(X106+($K$3/10000))/2))^(2*W106/365.25)</f>
        <v>2972144159.34808</v>
      </c>
      <c r="Z106" s="67" t="n">
        <f aca="false">IF(AND(mthbeg&lt;=A106,mthend&gt;=A106),1,0)</f>
        <v>0</v>
      </c>
      <c r="AA106" s="67" t="n">
        <f aca="false">U106*Z106</f>
        <v>0</v>
      </c>
      <c r="AC106" s="110" t="n">
        <f aca="false">F106*(H106-I106)</f>
        <v>0</v>
      </c>
      <c r="AD106" s="49"/>
      <c r="AE106" s="124"/>
    </row>
    <row r="107" customFormat="false" ht="12.75" hidden="false" customHeight="false" outlineLevel="0" collapsed="false">
      <c r="A107" s="115" t="n">
        <f aca="false">EDATE(A106,1)</f>
        <v>40210</v>
      </c>
      <c r="B107" s="116" t="n">
        <f aca="false">'Inputs-Summary'!$B$7</f>
        <v>3017157.21662952</v>
      </c>
      <c r="C107" s="57"/>
      <c r="D107" s="117" t="n">
        <f aca="false">B107+C107</f>
        <v>3017157.21662952</v>
      </c>
      <c r="E107" s="106" t="n">
        <f aca="false">IF(Z107=0,0,IF(AND(Z107=1,$H$3=1),D107*U107,IF($H$3=2,D107,"N/A")))</f>
        <v>0</v>
      </c>
      <c r="F107" s="106" t="n">
        <f aca="false">E107*Y107</f>
        <v>0</v>
      </c>
      <c r="G107" s="118" t="n">
        <f aca="false">VLOOKUP($A107,Table,MATCH(G$4,Curves,0))</f>
        <v>3</v>
      </c>
      <c r="H107" s="119" t="n">
        <f aca="false">G107+$H$7</f>
        <v>3</v>
      </c>
      <c r="I107" s="118" t="n">
        <f aca="false">'Inputs-Summary'!$B$16</f>
        <v>1.85</v>
      </c>
      <c r="J107" s="118" t="n">
        <f aca="false">VLOOKUP($A107,Table,MATCH(J$4,Curves,0))</f>
        <v>5</v>
      </c>
      <c r="K107" s="119" t="n">
        <f aca="false">J107+$K$7</f>
        <v>5</v>
      </c>
      <c r="L107" s="120" t="n">
        <f aca="false">K107</f>
        <v>5</v>
      </c>
      <c r="M107" s="118" t="n">
        <f aca="false">VLOOKUP($A107,Table,MATCH(M$4,Curves,0))</f>
        <v>5</v>
      </c>
      <c r="N107" s="119" t="n">
        <f aca="false">M107+$N$7</f>
        <v>5</v>
      </c>
      <c r="O107" s="120" t="n">
        <f aca="false">N107</f>
        <v>5</v>
      </c>
      <c r="P107" s="109"/>
      <c r="Q107" s="120" t="n">
        <f aca="false">IF($F$3=1,M107+J107+G107,J107+G107)</f>
        <v>8</v>
      </c>
      <c r="R107" s="120" t="n">
        <f aca="false">IF($F$3=1,N107+K107+H107,K107+H107)</f>
        <v>8</v>
      </c>
      <c r="S107" s="120" t="n">
        <f aca="false">IF($F$3=1,O107+L107+I107,L107+I107)</f>
        <v>6.85</v>
      </c>
      <c r="T107" s="121"/>
      <c r="U107" s="67" t="n">
        <f aca="false">A108-A107</f>
        <v>28</v>
      </c>
      <c r="V107" s="122" t="n">
        <f aca="false">CHOOSE(F$3,A108+24,A107)</f>
        <v>40210</v>
      </c>
      <c r="W107" s="67" t="n">
        <f aca="false">V107-C$3</f>
        <v>-5716</v>
      </c>
      <c r="X107" s="118" t="n">
        <f aca="false">VLOOKUP($A107,Table,MATCH(X$4,Curves,0))</f>
        <v>2</v>
      </c>
      <c r="Y107" s="123" t="n">
        <f aca="false">1/(1+CHOOSE(F$3,(X108+($K$3/10000))/2,(X107+($K$3/10000))/2))^(2*W107/365.25)</f>
        <v>2642232361.10479</v>
      </c>
      <c r="Z107" s="67" t="n">
        <f aca="false">IF(AND(mthbeg&lt;=A107,mthend&gt;=A107),1,0)</f>
        <v>0</v>
      </c>
      <c r="AA107" s="67" t="n">
        <f aca="false">U107*Z107</f>
        <v>0</v>
      </c>
      <c r="AC107" s="110" t="n">
        <f aca="false">F107*(H107-I107)</f>
        <v>0</v>
      </c>
      <c r="AD107" s="49"/>
      <c r="AE107" s="124"/>
    </row>
    <row r="108" customFormat="false" ht="12.75" hidden="false" customHeight="false" outlineLevel="0" collapsed="false">
      <c r="A108" s="115" t="n">
        <f aca="false">EDATE(A107,1)</f>
        <v>40238</v>
      </c>
      <c r="B108" s="116" t="n">
        <f aca="false">'Inputs-Summary'!$B$7</f>
        <v>3017157.21662952</v>
      </c>
      <c r="C108" s="57"/>
      <c r="D108" s="117" t="n">
        <f aca="false">B108+C108</f>
        <v>3017157.21662952</v>
      </c>
      <c r="E108" s="106" t="n">
        <f aca="false">IF(Z108=0,0,IF(AND(Z108=1,$H$3=1),D108*U108,IF($H$3=2,D108,"N/A")))</f>
        <v>0</v>
      </c>
      <c r="F108" s="106" t="n">
        <f aca="false">E108*Y108</f>
        <v>0</v>
      </c>
      <c r="G108" s="118" t="n">
        <f aca="false">VLOOKUP($A108,Table,MATCH(G$4,Curves,0))</f>
        <v>3</v>
      </c>
      <c r="H108" s="119" t="n">
        <f aca="false">G108+$H$7</f>
        <v>3</v>
      </c>
      <c r="I108" s="118" t="n">
        <f aca="false">'Inputs-Summary'!$B$16</f>
        <v>1.85</v>
      </c>
      <c r="J108" s="118" t="n">
        <f aca="false">VLOOKUP($A108,Table,MATCH(J$4,Curves,0))</f>
        <v>5</v>
      </c>
      <c r="K108" s="119" t="n">
        <f aca="false">J108+$K$7</f>
        <v>5</v>
      </c>
      <c r="L108" s="120" t="n">
        <f aca="false">K108</f>
        <v>5</v>
      </c>
      <c r="M108" s="118" t="n">
        <f aca="false">VLOOKUP($A108,Table,MATCH(M$4,Curves,0))</f>
        <v>5</v>
      </c>
      <c r="N108" s="119" t="n">
        <f aca="false">M108+$N$7</f>
        <v>5</v>
      </c>
      <c r="O108" s="120" t="n">
        <f aca="false">N108</f>
        <v>5</v>
      </c>
      <c r="P108" s="109"/>
      <c r="Q108" s="120" t="n">
        <f aca="false">IF($F$3=1,M108+J108+G108,J108+G108)</f>
        <v>8</v>
      </c>
      <c r="R108" s="120" t="n">
        <f aca="false">IF($F$3=1,N108+K108+H108,K108+H108)</f>
        <v>8</v>
      </c>
      <c r="S108" s="120" t="n">
        <f aca="false">IF($F$3=1,O108+L108+I108,L108+I108)</f>
        <v>6.85</v>
      </c>
      <c r="T108" s="121"/>
      <c r="U108" s="67" t="n">
        <f aca="false">A109-A108</f>
        <v>31</v>
      </c>
      <c r="V108" s="122" t="n">
        <f aca="false">CHOOSE(F$3,A109+24,A108)</f>
        <v>40238</v>
      </c>
      <c r="W108" s="67" t="n">
        <f aca="false">V108-C$3</f>
        <v>-5688</v>
      </c>
      <c r="X108" s="118" t="n">
        <f aca="false">VLOOKUP($A108,Table,MATCH(X$4,Curves,0))</f>
        <v>2</v>
      </c>
      <c r="Y108" s="123" t="n">
        <f aca="false">1/(1+CHOOSE(F$3,(X109+($K$3/10000))/2,(X108+($K$3/10000))/2))^(2*W108/365.25)</f>
        <v>2375840030.86491</v>
      </c>
      <c r="Z108" s="67" t="n">
        <f aca="false">IF(AND(mthbeg&lt;=A108,mthend&gt;=A108),1,0)</f>
        <v>0</v>
      </c>
      <c r="AA108" s="67" t="n">
        <f aca="false">U108*Z108</f>
        <v>0</v>
      </c>
      <c r="AC108" s="110" t="n">
        <f aca="false">F108*(H108-I108)</f>
        <v>0</v>
      </c>
      <c r="AD108" s="49"/>
      <c r="AE108" s="124"/>
    </row>
    <row r="109" customFormat="false" ht="12.75" hidden="false" customHeight="false" outlineLevel="0" collapsed="false">
      <c r="A109" s="115" t="n">
        <f aca="false">EDATE(A108,1)</f>
        <v>40269</v>
      </c>
      <c r="B109" s="116" t="n">
        <f aca="false">'Inputs-Summary'!$B$7</f>
        <v>3017157.21662952</v>
      </c>
      <c r="C109" s="57"/>
      <c r="D109" s="117" t="n">
        <f aca="false">B109+C109</f>
        <v>3017157.21662952</v>
      </c>
      <c r="E109" s="106" t="n">
        <f aca="false">IF(Z109=0,0,IF(AND(Z109=1,$H$3=1),D109*U109,IF($H$3=2,D109,"N/A")))</f>
        <v>0</v>
      </c>
      <c r="F109" s="106" t="n">
        <f aca="false">E109*Y109</f>
        <v>0</v>
      </c>
      <c r="G109" s="118" t="n">
        <f aca="false">VLOOKUP($A109,Table,MATCH(G$4,Curves,0))</f>
        <v>3</v>
      </c>
      <c r="H109" s="119" t="n">
        <f aca="false">G109+$H$7</f>
        <v>3</v>
      </c>
      <c r="I109" s="118" t="n">
        <f aca="false">'Inputs-Summary'!$B$16</f>
        <v>1.85</v>
      </c>
      <c r="J109" s="118" t="n">
        <f aca="false">VLOOKUP($A109,Table,MATCH(J$4,Curves,0))</f>
        <v>5</v>
      </c>
      <c r="K109" s="119" t="n">
        <f aca="false">J109+$K$7</f>
        <v>5</v>
      </c>
      <c r="L109" s="120" t="n">
        <f aca="false">K109</f>
        <v>5</v>
      </c>
      <c r="M109" s="118" t="n">
        <f aca="false">VLOOKUP($A109,Table,MATCH(M$4,Curves,0))</f>
        <v>5</v>
      </c>
      <c r="N109" s="119" t="n">
        <f aca="false">M109+$N$7</f>
        <v>5</v>
      </c>
      <c r="O109" s="120" t="n">
        <f aca="false">N109</f>
        <v>5</v>
      </c>
      <c r="P109" s="109"/>
      <c r="Q109" s="120" t="n">
        <f aca="false">IF($F$3=1,M109+J109+G109,J109+G109)</f>
        <v>8</v>
      </c>
      <c r="R109" s="120" t="n">
        <f aca="false">IF($F$3=1,N109+K109+H109,K109+H109)</f>
        <v>8</v>
      </c>
      <c r="S109" s="120" t="n">
        <f aca="false">IF($F$3=1,O109+L109+I109,L109+I109)</f>
        <v>6.85</v>
      </c>
      <c r="T109" s="121"/>
      <c r="U109" s="67" t="n">
        <f aca="false">A110-A109</f>
        <v>30</v>
      </c>
      <c r="V109" s="122" t="n">
        <f aca="false">CHOOSE(F$3,A110+24,A109)</f>
        <v>40269</v>
      </c>
      <c r="W109" s="67" t="n">
        <f aca="false">V109-C$3</f>
        <v>-5657</v>
      </c>
      <c r="X109" s="118" t="n">
        <f aca="false">VLOOKUP($A109,Table,MATCH(X$4,Curves,0))</f>
        <v>2</v>
      </c>
      <c r="Y109" s="123" t="n">
        <f aca="false">1/(1+CHOOSE(F$3,(X110+($K$3/10000))/2,(X109+($K$3/10000))/2))^(2*W109/365.25)</f>
        <v>2112118752.58985</v>
      </c>
      <c r="Z109" s="67" t="n">
        <f aca="false">IF(AND(mthbeg&lt;=A109,mthend&gt;=A109),1,0)</f>
        <v>0</v>
      </c>
      <c r="AA109" s="67" t="n">
        <f aca="false">U109*Z109</f>
        <v>0</v>
      </c>
      <c r="AC109" s="110" t="n">
        <f aca="false">F109*(H109-I109)</f>
        <v>0</v>
      </c>
      <c r="AD109" s="49"/>
      <c r="AE109" s="124"/>
    </row>
    <row r="110" customFormat="false" ht="12.75" hidden="false" customHeight="false" outlineLevel="0" collapsed="false">
      <c r="A110" s="115" t="n">
        <f aca="false">EDATE(A109,1)</f>
        <v>40299</v>
      </c>
      <c r="B110" s="116" t="n">
        <f aca="false">'Inputs-Summary'!$B$7</f>
        <v>3017157.21662952</v>
      </c>
      <c r="C110" s="57"/>
      <c r="D110" s="117" t="n">
        <f aca="false">B110+C110</f>
        <v>3017157.21662952</v>
      </c>
      <c r="E110" s="106" t="n">
        <f aca="false">IF(Z110=0,0,IF(AND(Z110=1,$H$3=1),D110*U110,IF($H$3=2,D110,"N/A")))</f>
        <v>0</v>
      </c>
      <c r="F110" s="106" t="n">
        <f aca="false">E110*Y110</f>
        <v>0</v>
      </c>
      <c r="G110" s="118" t="n">
        <f aca="false">VLOOKUP($A110,Table,MATCH(G$4,Curves,0))</f>
        <v>3</v>
      </c>
      <c r="H110" s="119" t="n">
        <f aca="false">G110+$H$7</f>
        <v>3</v>
      </c>
      <c r="I110" s="118" t="n">
        <f aca="false">'Inputs-Summary'!$B$16</f>
        <v>1.85</v>
      </c>
      <c r="J110" s="118" t="n">
        <f aca="false">VLOOKUP($A110,Table,MATCH(J$4,Curves,0))</f>
        <v>5</v>
      </c>
      <c r="K110" s="119" t="n">
        <f aca="false">J110+$K$7</f>
        <v>5</v>
      </c>
      <c r="L110" s="120" t="n">
        <f aca="false">K110</f>
        <v>5</v>
      </c>
      <c r="M110" s="118" t="n">
        <f aca="false">VLOOKUP($A110,Table,MATCH(M$4,Curves,0))</f>
        <v>5</v>
      </c>
      <c r="N110" s="119" t="n">
        <f aca="false">M110+$N$7</f>
        <v>5</v>
      </c>
      <c r="O110" s="120" t="n">
        <f aca="false">N110</f>
        <v>5</v>
      </c>
      <c r="P110" s="109"/>
      <c r="Q110" s="120" t="n">
        <f aca="false">IF($F$3=1,M110+J110+G110,J110+G110)</f>
        <v>8</v>
      </c>
      <c r="R110" s="120" t="n">
        <f aca="false">IF($F$3=1,N110+K110+H110,K110+H110)</f>
        <v>8</v>
      </c>
      <c r="S110" s="120" t="n">
        <f aca="false">IF($F$3=1,O110+L110+I110,L110+I110)</f>
        <v>6.85</v>
      </c>
      <c r="T110" s="121"/>
      <c r="U110" s="67" t="n">
        <f aca="false">A111-A110</f>
        <v>31</v>
      </c>
      <c r="V110" s="122" t="n">
        <f aca="false">CHOOSE(F$3,A111+24,A110)</f>
        <v>40299</v>
      </c>
      <c r="W110" s="67" t="n">
        <f aca="false">V110-C$3</f>
        <v>-5627</v>
      </c>
      <c r="X110" s="118" t="n">
        <f aca="false">VLOOKUP($A110,Table,MATCH(X$4,Curves,0))</f>
        <v>2</v>
      </c>
      <c r="Y110" s="123" t="n">
        <f aca="false">1/(1+CHOOSE(F$3,(X111+($K$3/10000))/2,(X110+($K$3/10000))/2))^(2*W110/365.25)</f>
        <v>1884811052.70037</v>
      </c>
      <c r="Z110" s="67" t="n">
        <f aca="false">IF(AND(mthbeg&lt;=A110,mthend&gt;=A110),1,0)</f>
        <v>0</v>
      </c>
      <c r="AA110" s="67" t="n">
        <f aca="false">U110*Z110</f>
        <v>0</v>
      </c>
      <c r="AC110" s="110" t="n">
        <f aca="false">F110*(H110-I110)</f>
        <v>0</v>
      </c>
      <c r="AD110" s="49"/>
      <c r="AE110" s="124"/>
    </row>
    <row r="111" customFormat="false" ht="12.75" hidden="false" customHeight="false" outlineLevel="0" collapsed="false">
      <c r="A111" s="115" t="n">
        <f aca="false">EDATE(A110,1)</f>
        <v>40330</v>
      </c>
      <c r="B111" s="116" t="n">
        <f aca="false">'Inputs-Summary'!$B$7</f>
        <v>3017157.21662952</v>
      </c>
      <c r="C111" s="57"/>
      <c r="D111" s="117" t="n">
        <f aca="false">B111+C111</f>
        <v>3017157.21662952</v>
      </c>
      <c r="E111" s="106" t="n">
        <f aca="false">IF(Z111=0,0,IF(AND(Z111=1,$H$3=1),D111*U111,IF($H$3=2,D111,"N/A")))</f>
        <v>0</v>
      </c>
      <c r="F111" s="106" t="n">
        <f aca="false">E111*Y111</f>
        <v>0</v>
      </c>
      <c r="G111" s="118" t="n">
        <f aca="false">VLOOKUP($A111,Table,MATCH(G$4,Curves,0))</f>
        <v>3</v>
      </c>
      <c r="H111" s="119" t="n">
        <f aca="false">G111+$H$7</f>
        <v>3</v>
      </c>
      <c r="I111" s="118" t="n">
        <f aca="false">'Inputs-Summary'!$B$16</f>
        <v>1.85</v>
      </c>
      <c r="J111" s="118" t="n">
        <f aca="false">VLOOKUP($A111,Table,MATCH(J$4,Curves,0))</f>
        <v>5</v>
      </c>
      <c r="K111" s="119" t="n">
        <f aca="false">J111+$K$7</f>
        <v>5</v>
      </c>
      <c r="L111" s="120" t="n">
        <f aca="false">K111</f>
        <v>5</v>
      </c>
      <c r="M111" s="118" t="n">
        <f aca="false">VLOOKUP($A111,Table,MATCH(M$4,Curves,0))</f>
        <v>5</v>
      </c>
      <c r="N111" s="119" t="n">
        <f aca="false">M111+$N$7</f>
        <v>5</v>
      </c>
      <c r="O111" s="120" t="n">
        <f aca="false">N111</f>
        <v>5</v>
      </c>
      <c r="P111" s="109"/>
      <c r="Q111" s="120" t="n">
        <f aca="false">IF($F$3=1,M111+J111+G111,J111+G111)</f>
        <v>8</v>
      </c>
      <c r="R111" s="120" t="n">
        <f aca="false">IF($F$3=1,N111+K111+H111,K111+H111)</f>
        <v>8</v>
      </c>
      <c r="S111" s="120" t="n">
        <f aca="false">IF($F$3=1,O111+L111+I111,L111+I111)</f>
        <v>6.85</v>
      </c>
      <c r="T111" s="121"/>
      <c r="U111" s="67" t="n">
        <f aca="false">A112-A111</f>
        <v>30</v>
      </c>
      <c r="V111" s="122" t="n">
        <f aca="false">CHOOSE(F$3,A112+24,A111)</f>
        <v>40330</v>
      </c>
      <c r="W111" s="67" t="n">
        <f aca="false">V111-C$3</f>
        <v>-5596</v>
      </c>
      <c r="X111" s="118" t="n">
        <f aca="false">VLOOKUP($A111,Table,MATCH(X$4,Curves,0))</f>
        <v>2</v>
      </c>
      <c r="Y111" s="123" t="n">
        <f aca="false">1/(1+CHOOSE(F$3,(X112+($K$3/10000))/2,(X111+($K$3/10000))/2))^(2*W111/365.25)</f>
        <v>1675594618.23186</v>
      </c>
      <c r="Z111" s="67" t="n">
        <f aca="false">IF(AND(mthbeg&lt;=A111,mthend&gt;=A111),1,0)</f>
        <v>0</v>
      </c>
      <c r="AA111" s="67" t="n">
        <f aca="false">U111*Z111</f>
        <v>0</v>
      </c>
      <c r="AC111" s="110" t="n">
        <f aca="false">F111*(H111-I111)</f>
        <v>0</v>
      </c>
      <c r="AD111" s="49"/>
      <c r="AE111" s="124"/>
    </row>
    <row r="112" customFormat="false" ht="12.75" hidden="false" customHeight="false" outlineLevel="0" collapsed="false">
      <c r="A112" s="115" t="n">
        <f aca="false">EDATE(A111,1)</f>
        <v>40360</v>
      </c>
      <c r="B112" s="116" t="n">
        <f aca="false">'Inputs-Summary'!$B$7</f>
        <v>3017157.21662952</v>
      </c>
      <c r="C112" s="57"/>
      <c r="D112" s="117" t="n">
        <f aca="false">B112+C112</f>
        <v>3017157.21662952</v>
      </c>
      <c r="E112" s="106" t="n">
        <f aca="false">IF(Z112=0,0,IF(AND(Z112=1,$H$3=1),D112*U112,IF($H$3=2,D112,"N/A")))</f>
        <v>0</v>
      </c>
      <c r="F112" s="106" t="n">
        <f aca="false">E112*Y112</f>
        <v>0</v>
      </c>
      <c r="G112" s="118" t="n">
        <f aca="false">VLOOKUP($A112,Table,MATCH(G$4,Curves,0))</f>
        <v>3</v>
      </c>
      <c r="H112" s="119" t="n">
        <f aca="false">G112+$H$7</f>
        <v>3</v>
      </c>
      <c r="I112" s="118" t="n">
        <f aca="false">'Inputs-Summary'!$B$16</f>
        <v>1.85</v>
      </c>
      <c r="J112" s="118" t="n">
        <f aca="false">VLOOKUP($A112,Table,MATCH(J$4,Curves,0))</f>
        <v>5</v>
      </c>
      <c r="K112" s="119" t="n">
        <f aca="false">J112+$K$7</f>
        <v>5</v>
      </c>
      <c r="L112" s="120" t="n">
        <f aca="false">K112</f>
        <v>5</v>
      </c>
      <c r="M112" s="118" t="n">
        <f aca="false">VLOOKUP($A112,Table,MATCH(M$4,Curves,0))</f>
        <v>5</v>
      </c>
      <c r="N112" s="119" t="n">
        <f aca="false">M112+$N$7</f>
        <v>5</v>
      </c>
      <c r="O112" s="120" t="n">
        <f aca="false">N112</f>
        <v>5</v>
      </c>
      <c r="P112" s="109"/>
      <c r="Q112" s="120" t="n">
        <f aca="false">IF($F$3=1,M112+J112+G112,J112+G112)</f>
        <v>8</v>
      </c>
      <c r="R112" s="120" t="n">
        <f aca="false">IF($F$3=1,N112+K112+H112,K112+H112)</f>
        <v>8</v>
      </c>
      <c r="S112" s="120" t="n">
        <f aca="false">IF($F$3=1,O112+L112+I112,L112+I112)</f>
        <v>6.85</v>
      </c>
      <c r="T112" s="121"/>
      <c r="U112" s="67" t="n">
        <f aca="false">A113-A112</f>
        <v>31</v>
      </c>
      <c r="V112" s="122" t="n">
        <f aca="false">CHOOSE(F$3,A113+24,A112)</f>
        <v>40360</v>
      </c>
      <c r="W112" s="67" t="n">
        <f aca="false">V112-C$3</f>
        <v>-5566</v>
      </c>
      <c r="X112" s="118" t="n">
        <f aca="false">VLOOKUP($A112,Table,MATCH(X$4,Curves,0))</f>
        <v>2</v>
      </c>
      <c r="Y112" s="123" t="n">
        <f aca="false">1/(1+CHOOSE(F$3,(X113+($K$3/10000))/2,(X112+($K$3/10000))/2))^(2*W112/365.25)</f>
        <v>1495265951.50778</v>
      </c>
      <c r="Z112" s="67" t="n">
        <f aca="false">IF(AND(mthbeg&lt;=A112,mthend&gt;=A112),1,0)</f>
        <v>0</v>
      </c>
      <c r="AA112" s="67" t="n">
        <f aca="false">U112*Z112</f>
        <v>0</v>
      </c>
      <c r="AC112" s="110" t="n">
        <f aca="false">F112*(H112-I112)</f>
        <v>0</v>
      </c>
      <c r="AD112" s="49"/>
      <c r="AE112" s="124"/>
    </row>
    <row r="113" customFormat="false" ht="12.75" hidden="false" customHeight="false" outlineLevel="0" collapsed="false">
      <c r="A113" s="115" t="n">
        <f aca="false">EDATE(A112,1)</f>
        <v>40391</v>
      </c>
      <c r="B113" s="116" t="n">
        <f aca="false">'Inputs-Summary'!$B$7</f>
        <v>3017157.21662952</v>
      </c>
      <c r="C113" s="57"/>
      <c r="D113" s="117" t="n">
        <f aca="false">B113+C113</f>
        <v>3017157.21662952</v>
      </c>
      <c r="E113" s="106" t="n">
        <f aca="false">IF(Z113=0,0,IF(AND(Z113=1,$H$3=1),D113*U113,IF($H$3=2,D113,"N/A")))</f>
        <v>0</v>
      </c>
      <c r="F113" s="106" t="n">
        <f aca="false">E113*Y113</f>
        <v>0</v>
      </c>
      <c r="G113" s="118" t="n">
        <f aca="false">VLOOKUP($A113,Table,MATCH(G$4,Curves,0))</f>
        <v>3</v>
      </c>
      <c r="H113" s="119" t="n">
        <f aca="false">G113+$H$7</f>
        <v>3</v>
      </c>
      <c r="I113" s="118" t="n">
        <f aca="false">'Inputs-Summary'!$B$16</f>
        <v>1.85</v>
      </c>
      <c r="J113" s="118" t="n">
        <f aca="false">VLOOKUP($A113,Table,MATCH(J$4,Curves,0))</f>
        <v>5</v>
      </c>
      <c r="K113" s="119" t="n">
        <f aca="false">J113+$K$7</f>
        <v>5</v>
      </c>
      <c r="L113" s="120" t="n">
        <f aca="false">K113</f>
        <v>5</v>
      </c>
      <c r="M113" s="118" t="n">
        <f aca="false">VLOOKUP($A113,Table,MATCH(M$4,Curves,0))</f>
        <v>5</v>
      </c>
      <c r="N113" s="119" t="n">
        <f aca="false">M113+$N$7</f>
        <v>5</v>
      </c>
      <c r="O113" s="120" t="n">
        <f aca="false">N113</f>
        <v>5</v>
      </c>
      <c r="P113" s="109"/>
      <c r="Q113" s="120" t="n">
        <f aca="false">IF($F$3=1,M113+J113+G113,J113+G113)</f>
        <v>8</v>
      </c>
      <c r="R113" s="120" t="n">
        <f aca="false">IF($F$3=1,N113+K113+H113,K113+H113)</f>
        <v>8</v>
      </c>
      <c r="S113" s="120" t="n">
        <f aca="false">IF($F$3=1,O113+L113+I113,L113+I113)</f>
        <v>6.85</v>
      </c>
      <c r="T113" s="121"/>
      <c r="U113" s="67" t="n">
        <f aca="false">A114-A113</f>
        <v>31</v>
      </c>
      <c r="V113" s="122" t="n">
        <f aca="false">CHOOSE(F$3,A114+24,A113)</f>
        <v>40391</v>
      </c>
      <c r="W113" s="67" t="n">
        <f aca="false">V113-C$3</f>
        <v>-5535</v>
      </c>
      <c r="X113" s="118" t="n">
        <f aca="false">VLOOKUP($A113,Table,MATCH(X$4,Curves,0))</f>
        <v>2</v>
      </c>
      <c r="Y113" s="123" t="n">
        <f aca="false">1/(1+CHOOSE(F$3,(X114+($K$3/10000))/2,(X113+($K$3/10000))/2))^(2*W113/365.25)</f>
        <v>1329289520.86853</v>
      </c>
      <c r="Z113" s="67" t="n">
        <f aca="false">IF(AND(mthbeg&lt;=A113,mthend&gt;=A113),1,0)</f>
        <v>0</v>
      </c>
      <c r="AA113" s="67" t="n">
        <f aca="false">U113*Z113</f>
        <v>0</v>
      </c>
      <c r="AC113" s="110" t="n">
        <f aca="false">F113*(H113-I113)</f>
        <v>0</v>
      </c>
      <c r="AD113" s="49"/>
      <c r="AE113" s="124"/>
    </row>
    <row r="114" customFormat="false" ht="12.75" hidden="false" customHeight="false" outlineLevel="0" collapsed="false">
      <c r="A114" s="115" t="n">
        <f aca="false">EDATE(A113,1)</f>
        <v>40422</v>
      </c>
      <c r="B114" s="116" t="n">
        <f aca="false">'Inputs-Summary'!$B$7</f>
        <v>3017157.21662952</v>
      </c>
      <c r="C114" s="57"/>
      <c r="D114" s="117" t="n">
        <f aca="false">B114+C114</f>
        <v>3017157.21662952</v>
      </c>
      <c r="E114" s="106" t="n">
        <f aca="false">IF(Z114=0,0,IF(AND(Z114=1,$H$3=1),D114*U114,IF($H$3=2,D114,"N/A")))</f>
        <v>0</v>
      </c>
      <c r="F114" s="106" t="n">
        <f aca="false">E114*Y114</f>
        <v>0</v>
      </c>
      <c r="G114" s="118" t="n">
        <f aca="false">VLOOKUP($A114,Table,MATCH(G$4,Curves,0))</f>
        <v>3</v>
      </c>
      <c r="H114" s="119" t="n">
        <f aca="false">G114+$H$7</f>
        <v>3</v>
      </c>
      <c r="I114" s="118" t="n">
        <f aca="false">'Inputs-Summary'!$B$16</f>
        <v>1.85</v>
      </c>
      <c r="J114" s="118" t="n">
        <f aca="false">VLOOKUP($A114,Table,MATCH(J$4,Curves,0))</f>
        <v>5</v>
      </c>
      <c r="K114" s="119" t="n">
        <f aca="false">J114+$K$7</f>
        <v>5</v>
      </c>
      <c r="L114" s="120" t="n">
        <f aca="false">K114</f>
        <v>5</v>
      </c>
      <c r="M114" s="118" t="n">
        <f aca="false">VLOOKUP($A114,Table,MATCH(M$4,Curves,0))</f>
        <v>5</v>
      </c>
      <c r="N114" s="119" t="n">
        <f aca="false">M114+$N$7</f>
        <v>5</v>
      </c>
      <c r="O114" s="120" t="n">
        <f aca="false">N114</f>
        <v>5</v>
      </c>
      <c r="P114" s="109"/>
      <c r="Q114" s="120" t="n">
        <f aca="false">IF($F$3=1,M114+J114+G114,J114+G114)</f>
        <v>8</v>
      </c>
      <c r="R114" s="120" t="n">
        <f aca="false">IF($F$3=1,N114+K114+H114,K114+H114)</f>
        <v>8</v>
      </c>
      <c r="S114" s="120" t="n">
        <f aca="false">IF($F$3=1,O114+L114+I114,L114+I114)</f>
        <v>6.85</v>
      </c>
      <c r="T114" s="121"/>
      <c r="U114" s="67" t="n">
        <f aca="false">A115-A114</f>
        <v>30</v>
      </c>
      <c r="V114" s="122" t="n">
        <f aca="false">CHOOSE(F$3,A115+24,A114)</f>
        <v>40422</v>
      </c>
      <c r="W114" s="67" t="n">
        <f aca="false">V114-C$3</f>
        <v>-5504</v>
      </c>
      <c r="X114" s="118" t="n">
        <f aca="false">VLOOKUP($A114,Table,MATCH(X$4,Curves,0))</f>
        <v>2</v>
      </c>
      <c r="Y114" s="123" t="n">
        <f aca="false">1/(1+CHOOSE(F$3,(X115+($K$3/10000))/2,(X114+($K$3/10000))/2))^(2*W114/365.25)</f>
        <v>1181736686.0451</v>
      </c>
      <c r="Z114" s="67" t="n">
        <f aca="false">IF(AND(mthbeg&lt;=A114,mthend&gt;=A114),1,0)</f>
        <v>0</v>
      </c>
      <c r="AA114" s="67" t="n">
        <f aca="false">U114*Z114</f>
        <v>0</v>
      </c>
      <c r="AC114" s="110" t="n">
        <f aca="false">F114*(H114-I114)</f>
        <v>0</v>
      </c>
      <c r="AD114" s="49"/>
      <c r="AE114" s="124"/>
    </row>
    <row r="115" customFormat="false" ht="12.75" hidden="false" customHeight="false" outlineLevel="0" collapsed="false">
      <c r="A115" s="115" t="n">
        <f aca="false">EDATE(A114,1)</f>
        <v>40452</v>
      </c>
      <c r="B115" s="116" t="n">
        <f aca="false">'Inputs-Summary'!$B$7</f>
        <v>3017157.21662952</v>
      </c>
      <c r="C115" s="57"/>
      <c r="D115" s="117" t="n">
        <f aca="false">B115+C115</f>
        <v>3017157.21662952</v>
      </c>
      <c r="E115" s="106" t="n">
        <f aca="false">IF(Z115=0,0,IF(AND(Z115=1,$H$3=1),D115*U115,IF($H$3=2,D115,"N/A")))</f>
        <v>0</v>
      </c>
      <c r="F115" s="106" t="n">
        <f aca="false">E115*Y115</f>
        <v>0</v>
      </c>
      <c r="G115" s="118" t="n">
        <f aca="false">VLOOKUP($A115,Table,MATCH(G$4,Curves,0))</f>
        <v>3</v>
      </c>
      <c r="H115" s="119" t="n">
        <f aca="false">G115+$H$7</f>
        <v>3</v>
      </c>
      <c r="I115" s="118" t="n">
        <f aca="false">'Inputs-Summary'!$B$16</f>
        <v>1.85</v>
      </c>
      <c r="J115" s="118" t="n">
        <f aca="false">VLOOKUP($A115,Table,MATCH(J$4,Curves,0))</f>
        <v>5</v>
      </c>
      <c r="K115" s="119" t="n">
        <f aca="false">J115+$K$7</f>
        <v>5</v>
      </c>
      <c r="L115" s="120" t="n">
        <f aca="false">K115</f>
        <v>5</v>
      </c>
      <c r="M115" s="118" t="n">
        <f aca="false">VLOOKUP($A115,Table,MATCH(M$4,Curves,0))</f>
        <v>5</v>
      </c>
      <c r="N115" s="119" t="n">
        <f aca="false">M115+$N$7</f>
        <v>5</v>
      </c>
      <c r="O115" s="120" t="n">
        <f aca="false">N115</f>
        <v>5</v>
      </c>
      <c r="P115" s="109"/>
      <c r="Q115" s="120" t="n">
        <f aca="false">IF($F$3=1,M115+J115+G115,J115+G115)</f>
        <v>8</v>
      </c>
      <c r="R115" s="120" t="n">
        <f aca="false">IF($F$3=1,N115+K115+H115,K115+H115)</f>
        <v>8</v>
      </c>
      <c r="S115" s="120" t="n">
        <f aca="false">IF($F$3=1,O115+L115+I115,L115+I115)</f>
        <v>6.85</v>
      </c>
      <c r="T115" s="121"/>
      <c r="U115" s="67" t="n">
        <f aca="false">A116-A115</f>
        <v>31</v>
      </c>
      <c r="V115" s="122" t="n">
        <f aca="false">CHOOSE(F$3,A116+24,A115)</f>
        <v>40452</v>
      </c>
      <c r="W115" s="67" t="n">
        <f aca="false">V115-C$3</f>
        <v>-5474</v>
      </c>
      <c r="X115" s="118" t="n">
        <f aca="false">VLOOKUP($A115,Table,MATCH(X$4,Curves,0))</f>
        <v>2</v>
      </c>
      <c r="Y115" s="123" t="n">
        <f aca="false">1/(1+CHOOSE(F$3,(X116+($K$3/10000))/2,(X115+($K$3/10000))/2))^(2*W115/365.25)</f>
        <v>1054557355.9764</v>
      </c>
      <c r="Z115" s="67" t="n">
        <f aca="false">IF(AND(mthbeg&lt;=A115,mthend&gt;=A115),1,0)</f>
        <v>0</v>
      </c>
      <c r="AA115" s="67" t="n">
        <f aca="false">U115*Z115</f>
        <v>0</v>
      </c>
      <c r="AC115" s="110" t="n">
        <f aca="false">F115*(H115-I115)</f>
        <v>0</v>
      </c>
      <c r="AD115" s="49"/>
      <c r="AE115" s="124"/>
    </row>
    <row r="116" customFormat="false" ht="12.75" hidden="false" customHeight="false" outlineLevel="0" collapsed="false">
      <c r="A116" s="115" t="n">
        <f aca="false">EDATE(A115,1)</f>
        <v>40483</v>
      </c>
      <c r="B116" s="116" t="n">
        <f aca="false">'Inputs-Summary'!$B$7</f>
        <v>3017157.21662952</v>
      </c>
      <c r="C116" s="57"/>
      <c r="D116" s="117" t="n">
        <f aca="false">B116+C116</f>
        <v>3017157.21662952</v>
      </c>
      <c r="E116" s="106" t="n">
        <f aca="false">IF(Z116=0,0,IF(AND(Z116=1,$H$3=1),D116*U116,IF($H$3=2,D116,"N/A")))</f>
        <v>0</v>
      </c>
      <c r="F116" s="106" t="n">
        <f aca="false">E116*Y116</f>
        <v>0</v>
      </c>
      <c r="G116" s="118" t="n">
        <f aca="false">VLOOKUP($A116,Table,MATCH(G$4,Curves,0))</f>
        <v>3</v>
      </c>
      <c r="H116" s="119" t="n">
        <f aca="false">G116+$H$7</f>
        <v>3</v>
      </c>
      <c r="I116" s="118" t="n">
        <f aca="false">'Inputs-Summary'!$B$16</f>
        <v>1.85</v>
      </c>
      <c r="J116" s="118" t="n">
        <f aca="false">VLOOKUP($A116,Table,MATCH(J$4,Curves,0))</f>
        <v>5</v>
      </c>
      <c r="K116" s="119" t="n">
        <f aca="false">J116+$K$7</f>
        <v>5</v>
      </c>
      <c r="L116" s="120" t="n">
        <f aca="false">K116</f>
        <v>5</v>
      </c>
      <c r="M116" s="118" t="n">
        <f aca="false">VLOOKUP($A116,Table,MATCH(M$4,Curves,0))</f>
        <v>5</v>
      </c>
      <c r="N116" s="119" t="n">
        <f aca="false">M116+$N$7</f>
        <v>5</v>
      </c>
      <c r="O116" s="120" t="n">
        <f aca="false">N116</f>
        <v>5</v>
      </c>
      <c r="P116" s="109"/>
      <c r="Q116" s="120" t="n">
        <f aca="false">IF($F$3=1,M116+J116+G116,J116+G116)</f>
        <v>8</v>
      </c>
      <c r="R116" s="120" t="n">
        <f aca="false">IF($F$3=1,N116+K116+H116,K116+H116)</f>
        <v>8</v>
      </c>
      <c r="S116" s="120" t="n">
        <f aca="false">IF($F$3=1,O116+L116+I116,L116+I116)</f>
        <v>6.85</v>
      </c>
      <c r="T116" s="121"/>
      <c r="U116" s="67" t="n">
        <f aca="false">A117-A116</f>
        <v>30</v>
      </c>
      <c r="V116" s="122" t="n">
        <f aca="false">CHOOSE(F$3,A117+24,A116)</f>
        <v>40483</v>
      </c>
      <c r="W116" s="67" t="n">
        <f aca="false">V116-C$3</f>
        <v>-5443</v>
      </c>
      <c r="X116" s="118" t="n">
        <f aca="false">VLOOKUP($A116,Table,MATCH(X$4,Curves,0))</f>
        <v>2</v>
      </c>
      <c r="Y116" s="123" t="n">
        <f aca="false">1/(1+CHOOSE(F$3,(X117+($K$3/10000))/2,(X116+($K$3/10000))/2))^(2*W116/365.25)</f>
        <v>937500142.393198</v>
      </c>
      <c r="Z116" s="67" t="n">
        <f aca="false">IF(AND(mthbeg&lt;=A116,mthend&gt;=A116),1,0)</f>
        <v>0</v>
      </c>
      <c r="AA116" s="67" t="n">
        <f aca="false">U116*Z116</f>
        <v>0</v>
      </c>
      <c r="AC116" s="110" t="n">
        <f aca="false">F116*(H116-I116)</f>
        <v>0</v>
      </c>
      <c r="AD116" s="49"/>
      <c r="AE116" s="124"/>
    </row>
    <row r="117" customFormat="false" ht="12.75" hidden="false" customHeight="false" outlineLevel="0" collapsed="false">
      <c r="A117" s="115" t="n">
        <f aca="false">EDATE(A116,1)</f>
        <v>40513</v>
      </c>
      <c r="B117" s="116" t="n">
        <f aca="false">'Inputs-Summary'!$B$7</f>
        <v>3017157.21662952</v>
      </c>
      <c r="C117" s="57"/>
      <c r="D117" s="117" t="n">
        <f aca="false">B117+C117</f>
        <v>3017157.21662952</v>
      </c>
      <c r="E117" s="106" t="n">
        <f aca="false">IF(Z117=0,0,IF(AND(Z117=1,$H$3=1),D117*U117,IF($H$3=2,D117,"N/A")))</f>
        <v>0</v>
      </c>
      <c r="F117" s="106" t="n">
        <f aca="false">E117*Y117</f>
        <v>0</v>
      </c>
      <c r="G117" s="118" t="n">
        <f aca="false">VLOOKUP($A117,Table,MATCH(G$4,Curves,0))</f>
        <v>3</v>
      </c>
      <c r="H117" s="119" t="n">
        <f aca="false">G117+$H$7</f>
        <v>3</v>
      </c>
      <c r="I117" s="118" t="n">
        <f aca="false">'Inputs-Summary'!$B$16</f>
        <v>1.85</v>
      </c>
      <c r="J117" s="118" t="n">
        <f aca="false">VLOOKUP($A117,Table,MATCH(J$4,Curves,0))</f>
        <v>5</v>
      </c>
      <c r="K117" s="119" t="n">
        <f aca="false">J117+$K$7</f>
        <v>5</v>
      </c>
      <c r="L117" s="120" t="n">
        <f aca="false">K117</f>
        <v>5</v>
      </c>
      <c r="M117" s="118" t="n">
        <f aca="false">VLOOKUP($A117,Table,MATCH(M$4,Curves,0))</f>
        <v>5</v>
      </c>
      <c r="N117" s="119" t="n">
        <f aca="false">M117+$N$7</f>
        <v>5</v>
      </c>
      <c r="O117" s="120" t="n">
        <f aca="false">N117</f>
        <v>5</v>
      </c>
      <c r="P117" s="109"/>
      <c r="Q117" s="120" t="n">
        <f aca="false">IF($F$3=1,M117+J117+G117,J117+G117)</f>
        <v>8</v>
      </c>
      <c r="R117" s="120" t="n">
        <f aca="false">IF($F$3=1,N117+K117+H117,K117+H117)</f>
        <v>8</v>
      </c>
      <c r="S117" s="120" t="n">
        <f aca="false">IF($F$3=1,O117+L117+I117,L117+I117)</f>
        <v>6.85</v>
      </c>
      <c r="T117" s="121"/>
      <c r="U117" s="67" t="n">
        <f aca="false">A118-A117</f>
        <v>31</v>
      </c>
      <c r="V117" s="122" t="n">
        <f aca="false">CHOOSE(F$3,A118+24,A117)</f>
        <v>40513</v>
      </c>
      <c r="W117" s="67" t="n">
        <f aca="false">V117-C$3</f>
        <v>-5413</v>
      </c>
      <c r="X117" s="118" t="n">
        <f aca="false">VLOOKUP($A117,Table,MATCH(X$4,Curves,0))</f>
        <v>2</v>
      </c>
      <c r="Y117" s="123" t="n">
        <f aca="false">1/(1+CHOOSE(F$3,(X118+($K$3/10000))/2,(X117+($K$3/10000))/2))^(2*W117/365.25)</f>
        <v>836605720.262742</v>
      </c>
      <c r="Z117" s="67" t="n">
        <f aca="false">IF(AND(mthbeg&lt;=A117,mthend&gt;=A117),1,0)</f>
        <v>0</v>
      </c>
      <c r="AA117" s="67" t="n">
        <f aca="false">U117*Z117</f>
        <v>0</v>
      </c>
      <c r="AC117" s="110" t="n">
        <f aca="false">F117*(H117-I117)</f>
        <v>0</v>
      </c>
      <c r="AD117" s="49"/>
      <c r="AE117" s="124"/>
    </row>
    <row r="118" customFormat="false" ht="12.75" hidden="false" customHeight="false" outlineLevel="0" collapsed="false">
      <c r="A118" s="115" t="n">
        <f aca="false">EDATE(A117,1)</f>
        <v>40544</v>
      </c>
      <c r="B118" s="116" t="n">
        <f aca="false">'Inputs-Summary'!$B$7</f>
        <v>3017157.21662952</v>
      </c>
      <c r="C118" s="57"/>
      <c r="D118" s="117" t="n">
        <f aca="false">B118+C118</f>
        <v>3017157.21662952</v>
      </c>
      <c r="E118" s="106" t="n">
        <f aca="false">IF(Z118=0,0,IF(AND(Z118=1,$H$3=1),D118*U118,IF($H$3=2,D118,"N/A")))</f>
        <v>0</v>
      </c>
      <c r="F118" s="106" t="n">
        <f aca="false">E118*Y118</f>
        <v>0</v>
      </c>
      <c r="G118" s="118" t="n">
        <f aca="false">VLOOKUP($A118,Table,MATCH(G$4,Curves,0))</f>
        <v>3</v>
      </c>
      <c r="H118" s="119" t="n">
        <f aca="false">G118+$H$7</f>
        <v>3</v>
      </c>
      <c r="I118" s="118" t="n">
        <f aca="false">'Inputs-Summary'!$B$16</f>
        <v>1.85</v>
      </c>
      <c r="J118" s="118" t="n">
        <f aca="false">VLOOKUP($A118,Table,MATCH(J$4,Curves,0))</f>
        <v>5</v>
      </c>
      <c r="K118" s="119" t="n">
        <f aca="false">J118+$K$7</f>
        <v>5</v>
      </c>
      <c r="L118" s="120" t="n">
        <f aca="false">K118</f>
        <v>5</v>
      </c>
      <c r="M118" s="118" t="n">
        <f aca="false">VLOOKUP($A118,Table,MATCH(M$4,Curves,0))</f>
        <v>5</v>
      </c>
      <c r="N118" s="119" t="n">
        <f aca="false">M118+$N$7</f>
        <v>5</v>
      </c>
      <c r="O118" s="120" t="n">
        <f aca="false">N118</f>
        <v>5</v>
      </c>
      <c r="P118" s="109"/>
      <c r="Q118" s="120" t="n">
        <f aca="false">IF($F$3=1,M118+J118+G118,J118+G118)</f>
        <v>8</v>
      </c>
      <c r="R118" s="120" t="n">
        <f aca="false">IF($F$3=1,N118+K118+H118,K118+H118)</f>
        <v>8</v>
      </c>
      <c r="S118" s="120" t="n">
        <f aca="false">IF($F$3=1,O118+L118+I118,L118+I118)</f>
        <v>6.85</v>
      </c>
      <c r="T118" s="121"/>
      <c r="U118" s="67" t="n">
        <f aca="false">A119-A118</f>
        <v>31</v>
      </c>
      <c r="V118" s="122" t="n">
        <f aca="false">CHOOSE(F$3,A119+24,A118)</f>
        <v>40544</v>
      </c>
      <c r="W118" s="67" t="n">
        <f aca="false">V118-C$3</f>
        <v>-5382</v>
      </c>
      <c r="X118" s="118" t="n">
        <f aca="false">VLOOKUP($A118,Table,MATCH(X$4,Curves,0))</f>
        <v>2</v>
      </c>
      <c r="Y118" s="123" t="n">
        <f aca="false">1/(1+CHOOSE(F$3,(X119+($K$3/10000))/2,(X118+($K$3/10000))/2))^(2*W118/365.25)</f>
        <v>743741416.650684</v>
      </c>
      <c r="Z118" s="67" t="n">
        <f aca="false">IF(AND(mthbeg&lt;=A118,mthend&gt;=A118),1,0)</f>
        <v>0</v>
      </c>
      <c r="AA118" s="67" t="n">
        <f aca="false">U118*Z118</f>
        <v>0</v>
      </c>
      <c r="AC118" s="110" t="n">
        <f aca="false">F118*(H118-I118)</f>
        <v>0</v>
      </c>
      <c r="AD118" s="49"/>
      <c r="AE118" s="124"/>
    </row>
    <row r="119" customFormat="false" ht="12.75" hidden="false" customHeight="false" outlineLevel="0" collapsed="false">
      <c r="A119" s="115" t="n">
        <f aca="false">EDATE(A118,1)</f>
        <v>40575</v>
      </c>
      <c r="B119" s="116" t="n">
        <f aca="false">'Inputs-Summary'!$B$7</f>
        <v>3017157.21662952</v>
      </c>
      <c r="C119" s="57"/>
      <c r="D119" s="117" t="n">
        <f aca="false">B119+C119</f>
        <v>3017157.21662952</v>
      </c>
      <c r="E119" s="106" t="n">
        <f aca="false">IF(Z119=0,0,IF(AND(Z119=1,$H$3=1),D119*U119,IF($H$3=2,D119,"N/A")))</f>
        <v>0</v>
      </c>
      <c r="F119" s="106" t="n">
        <f aca="false">E119*Y119</f>
        <v>0</v>
      </c>
      <c r="G119" s="118" t="n">
        <f aca="false">VLOOKUP($A119,Table,MATCH(G$4,Curves,0))</f>
        <v>3</v>
      </c>
      <c r="H119" s="119" t="n">
        <f aca="false">G119+$H$7</f>
        <v>3</v>
      </c>
      <c r="I119" s="118" t="n">
        <f aca="false">'Inputs-Summary'!$B$16</f>
        <v>1.85</v>
      </c>
      <c r="J119" s="118" t="n">
        <f aca="false">VLOOKUP($A119,Table,MATCH(J$4,Curves,0))</f>
        <v>5</v>
      </c>
      <c r="K119" s="119" t="n">
        <f aca="false">J119+$K$7</f>
        <v>5</v>
      </c>
      <c r="L119" s="120" t="n">
        <f aca="false">K119</f>
        <v>5</v>
      </c>
      <c r="M119" s="118" t="n">
        <f aca="false">VLOOKUP($A119,Table,MATCH(M$4,Curves,0))</f>
        <v>5</v>
      </c>
      <c r="N119" s="119" t="n">
        <f aca="false">M119+$N$7</f>
        <v>5</v>
      </c>
      <c r="O119" s="120" t="n">
        <f aca="false">N119</f>
        <v>5</v>
      </c>
      <c r="P119" s="109"/>
      <c r="Q119" s="120" t="n">
        <f aca="false">IF($F$3=1,M119+J119+G119,J119+G119)</f>
        <v>8</v>
      </c>
      <c r="R119" s="120" t="n">
        <f aca="false">IF($F$3=1,N119+K119+H119,K119+H119)</f>
        <v>8</v>
      </c>
      <c r="S119" s="120" t="n">
        <f aca="false">IF($F$3=1,O119+L119+I119,L119+I119)</f>
        <v>6.85</v>
      </c>
      <c r="T119" s="121"/>
      <c r="U119" s="67" t="n">
        <f aca="false">A120-A119</f>
        <v>28</v>
      </c>
      <c r="V119" s="122" t="n">
        <f aca="false">CHOOSE(F$3,A120+24,A119)</f>
        <v>40575</v>
      </c>
      <c r="W119" s="67" t="n">
        <f aca="false">V119-C$3</f>
        <v>-5351</v>
      </c>
      <c r="X119" s="118" t="n">
        <f aca="false">VLOOKUP($A119,Table,MATCH(X$4,Curves,0))</f>
        <v>2</v>
      </c>
      <c r="Y119" s="123" t="n">
        <f aca="false">1/(1+CHOOSE(F$3,(X120+($K$3/10000))/2,(X119+($K$3/10000))/2))^(2*W119/365.25)</f>
        <v>661185169.36251</v>
      </c>
      <c r="Z119" s="67" t="n">
        <f aca="false">IF(AND(mthbeg&lt;=A119,mthend&gt;=A119),1,0)</f>
        <v>0</v>
      </c>
      <c r="AA119" s="67" t="n">
        <f aca="false">U119*Z119</f>
        <v>0</v>
      </c>
      <c r="AC119" s="110" t="n">
        <f aca="false">F119*(H119-I119)</f>
        <v>0</v>
      </c>
      <c r="AD119" s="49"/>
      <c r="AE119" s="124"/>
    </row>
    <row r="120" customFormat="false" ht="12.75" hidden="false" customHeight="false" outlineLevel="0" collapsed="false">
      <c r="A120" s="115" t="n">
        <f aca="false">EDATE(A119,1)</f>
        <v>40603</v>
      </c>
      <c r="B120" s="116" t="n">
        <f aca="false">'Inputs-Summary'!$B$7</f>
        <v>3017157.21662952</v>
      </c>
      <c r="C120" s="57"/>
      <c r="D120" s="117" t="n">
        <f aca="false">B120+C120</f>
        <v>3017157.21662952</v>
      </c>
      <c r="E120" s="106" t="n">
        <f aca="false">IF(Z120=0,0,IF(AND(Z120=1,$H$3=1),D120*U120,IF($H$3=2,D120,"N/A")))</f>
        <v>0</v>
      </c>
      <c r="F120" s="106" t="n">
        <f aca="false">E120*Y120</f>
        <v>0</v>
      </c>
      <c r="G120" s="118" t="n">
        <f aca="false">VLOOKUP($A120,Table,MATCH(G$4,Curves,0))</f>
        <v>3</v>
      </c>
      <c r="H120" s="119" t="n">
        <f aca="false">G120+$H$7</f>
        <v>3</v>
      </c>
      <c r="I120" s="118" t="n">
        <f aca="false">'Inputs-Summary'!$B$16</f>
        <v>1.85</v>
      </c>
      <c r="J120" s="118" t="n">
        <f aca="false">VLOOKUP($A120,Table,MATCH(J$4,Curves,0))</f>
        <v>5</v>
      </c>
      <c r="K120" s="119" t="n">
        <f aca="false">J120+$K$7</f>
        <v>5</v>
      </c>
      <c r="L120" s="120" t="n">
        <f aca="false">K120</f>
        <v>5</v>
      </c>
      <c r="M120" s="118" t="n">
        <f aca="false">VLOOKUP($A120,Table,MATCH(M$4,Curves,0))</f>
        <v>5</v>
      </c>
      <c r="N120" s="119" t="n">
        <f aca="false">M120+$N$7</f>
        <v>5</v>
      </c>
      <c r="O120" s="120" t="n">
        <f aca="false">N120</f>
        <v>5</v>
      </c>
      <c r="P120" s="109"/>
      <c r="Q120" s="120" t="n">
        <f aca="false">IF($F$3=1,M120+J120+G120,J120+G120)</f>
        <v>8</v>
      </c>
      <c r="R120" s="120" t="n">
        <f aca="false">IF($F$3=1,N120+K120+H120,K120+H120)</f>
        <v>8</v>
      </c>
      <c r="S120" s="120" t="n">
        <f aca="false">IF($F$3=1,O120+L120+I120,L120+I120)</f>
        <v>6.85</v>
      </c>
      <c r="T120" s="121"/>
      <c r="U120" s="67" t="n">
        <f aca="false">A121-A120</f>
        <v>31</v>
      </c>
      <c r="V120" s="122" t="n">
        <f aca="false">CHOOSE(F$3,A121+24,A120)</f>
        <v>40603</v>
      </c>
      <c r="W120" s="67" t="n">
        <f aca="false">V120-C$3</f>
        <v>-5323</v>
      </c>
      <c r="X120" s="118" t="n">
        <f aca="false">VLOOKUP($A120,Table,MATCH(X$4,Curves,0))</f>
        <v>2</v>
      </c>
      <c r="Y120" s="123" t="n">
        <f aca="false">1/(1+CHOOSE(F$3,(X121+($K$3/10000))/2,(X120+($K$3/10000))/2))^(2*W120/365.25)</f>
        <v>594523864.104377</v>
      </c>
      <c r="Z120" s="67" t="n">
        <f aca="false">IF(AND(mthbeg&lt;=A120,mthend&gt;=A120),1,0)</f>
        <v>0</v>
      </c>
      <c r="AA120" s="67" t="n">
        <f aca="false">U120*Z120</f>
        <v>0</v>
      </c>
      <c r="AC120" s="110" t="n">
        <f aca="false">F120*(H120-I120)</f>
        <v>0</v>
      </c>
      <c r="AD120" s="49"/>
      <c r="AE120" s="124"/>
    </row>
    <row r="121" customFormat="false" ht="12.75" hidden="false" customHeight="false" outlineLevel="0" collapsed="false">
      <c r="A121" s="115" t="n">
        <f aca="false">EDATE(A120,1)</f>
        <v>40634</v>
      </c>
      <c r="B121" s="116" t="n">
        <f aca="false">'Inputs-Summary'!$B$7</f>
        <v>3017157.21662952</v>
      </c>
      <c r="C121" s="57"/>
      <c r="D121" s="117" t="n">
        <f aca="false">B121+C121</f>
        <v>3017157.21662952</v>
      </c>
      <c r="E121" s="106" t="n">
        <f aca="false">IF(Z121=0,0,IF(AND(Z121=1,$H$3=1),D121*U121,IF($H$3=2,D121,"N/A")))</f>
        <v>0</v>
      </c>
      <c r="F121" s="106" t="n">
        <f aca="false">E121*Y121</f>
        <v>0</v>
      </c>
      <c r="G121" s="118" t="n">
        <f aca="false">VLOOKUP($A121,Table,MATCH(G$4,Curves,0))</f>
        <v>3</v>
      </c>
      <c r="H121" s="119" t="n">
        <f aca="false">G121+$H$7</f>
        <v>3</v>
      </c>
      <c r="I121" s="118" t="n">
        <f aca="false">'Inputs-Summary'!$B$16</f>
        <v>1.85</v>
      </c>
      <c r="J121" s="118" t="n">
        <f aca="false">VLOOKUP($A121,Table,MATCH(J$4,Curves,0))</f>
        <v>5</v>
      </c>
      <c r="K121" s="119" t="n">
        <f aca="false">J121+$K$7</f>
        <v>5</v>
      </c>
      <c r="L121" s="120" t="n">
        <f aca="false">K121</f>
        <v>5</v>
      </c>
      <c r="M121" s="118" t="n">
        <f aca="false">VLOOKUP($A121,Table,MATCH(M$4,Curves,0))</f>
        <v>5</v>
      </c>
      <c r="N121" s="119" t="n">
        <f aca="false">M121+$N$7</f>
        <v>5</v>
      </c>
      <c r="O121" s="120" t="n">
        <f aca="false">N121</f>
        <v>5</v>
      </c>
      <c r="P121" s="109"/>
      <c r="Q121" s="120" t="n">
        <f aca="false">IF($F$3=1,M121+J121+G121,J121+G121)</f>
        <v>8</v>
      </c>
      <c r="R121" s="120" t="n">
        <f aca="false">IF($F$3=1,N121+K121+H121,K121+H121)</f>
        <v>8</v>
      </c>
      <c r="S121" s="120" t="n">
        <f aca="false">IF($F$3=1,O121+L121+I121,L121+I121)</f>
        <v>6.85</v>
      </c>
      <c r="T121" s="121"/>
      <c r="U121" s="67" t="n">
        <f aca="false">A122-A121</f>
        <v>30</v>
      </c>
      <c r="V121" s="122" t="n">
        <f aca="false">CHOOSE(F$3,A122+24,A121)</f>
        <v>40634</v>
      </c>
      <c r="W121" s="67" t="n">
        <f aca="false">V121-C$3</f>
        <v>-5292</v>
      </c>
      <c r="X121" s="118" t="n">
        <f aca="false">VLOOKUP($A121,Table,MATCH(X$4,Curves,0))</f>
        <v>2</v>
      </c>
      <c r="Y121" s="123" t="n">
        <f aca="false">1/(1+CHOOSE(F$3,(X122+($K$3/10000))/2,(X121+($K$3/10000))/2))^(2*W121/365.25)</f>
        <v>528530955.756268</v>
      </c>
      <c r="Z121" s="67" t="n">
        <f aca="false">IF(AND(mthbeg&lt;=A121,mthend&gt;=A121),1,0)</f>
        <v>0</v>
      </c>
      <c r="AA121" s="67" t="n">
        <f aca="false">U121*Z121</f>
        <v>0</v>
      </c>
      <c r="AC121" s="110" t="n">
        <f aca="false">F121*(H121-I121)</f>
        <v>0</v>
      </c>
      <c r="AD121" s="49"/>
      <c r="AE121" s="124"/>
    </row>
    <row r="122" customFormat="false" ht="12.75" hidden="false" customHeight="false" outlineLevel="0" collapsed="false">
      <c r="A122" s="115" t="n">
        <f aca="false">EDATE(A121,1)</f>
        <v>40664</v>
      </c>
      <c r="B122" s="116" t="n">
        <f aca="false">'Inputs-Summary'!$B$7</f>
        <v>3017157.21662952</v>
      </c>
      <c r="C122" s="57"/>
      <c r="D122" s="117" t="n">
        <f aca="false">B122+C122</f>
        <v>3017157.21662952</v>
      </c>
      <c r="E122" s="106" t="n">
        <f aca="false">IF(Z122=0,0,IF(AND(Z122=1,$H$3=1),D122*U122,IF($H$3=2,D122,"N/A")))</f>
        <v>0</v>
      </c>
      <c r="F122" s="106" t="n">
        <f aca="false">E122*Y122</f>
        <v>0</v>
      </c>
      <c r="G122" s="118" t="n">
        <f aca="false">VLOOKUP($A122,Table,MATCH(G$4,Curves,0))</f>
        <v>3</v>
      </c>
      <c r="H122" s="119" t="n">
        <f aca="false">G122+$H$7</f>
        <v>3</v>
      </c>
      <c r="I122" s="118" t="n">
        <f aca="false">'Inputs-Summary'!$B$16</f>
        <v>1.85</v>
      </c>
      <c r="J122" s="118" t="n">
        <f aca="false">VLOOKUP($A122,Table,MATCH(J$4,Curves,0))</f>
        <v>5</v>
      </c>
      <c r="K122" s="119" t="n">
        <f aca="false">J122+$K$7</f>
        <v>5</v>
      </c>
      <c r="L122" s="120" t="n">
        <f aca="false">K122</f>
        <v>5</v>
      </c>
      <c r="M122" s="118" t="n">
        <f aca="false">VLOOKUP($A122,Table,MATCH(M$4,Curves,0))</f>
        <v>5</v>
      </c>
      <c r="N122" s="119" t="n">
        <f aca="false">M122+$N$7</f>
        <v>5</v>
      </c>
      <c r="O122" s="120" t="n">
        <f aca="false">N122</f>
        <v>5</v>
      </c>
      <c r="P122" s="109"/>
      <c r="Q122" s="120" t="n">
        <f aca="false">IF($F$3=1,M122+J122+G122,J122+G122)</f>
        <v>8</v>
      </c>
      <c r="R122" s="120" t="n">
        <f aca="false">IF($F$3=1,N122+K122+H122,K122+H122)</f>
        <v>8</v>
      </c>
      <c r="S122" s="120" t="n">
        <f aca="false">IF($F$3=1,O122+L122+I122,L122+I122)</f>
        <v>6.85</v>
      </c>
      <c r="T122" s="121"/>
      <c r="U122" s="67" t="n">
        <f aca="false">A123-A122</f>
        <v>31</v>
      </c>
      <c r="V122" s="122" t="n">
        <f aca="false">CHOOSE(F$3,A123+24,A122)</f>
        <v>40664</v>
      </c>
      <c r="W122" s="67" t="n">
        <f aca="false">V122-C$3</f>
        <v>-5262</v>
      </c>
      <c r="X122" s="118" t="n">
        <f aca="false">VLOOKUP($A122,Table,MATCH(X$4,Curves,0))</f>
        <v>2</v>
      </c>
      <c r="Y122" s="123" t="n">
        <f aca="false">1/(1+CHOOSE(F$3,(X123+($K$3/10000))/2,(X122+($K$3/10000))/2))^(2*W122/365.25)</f>
        <v>471650084.012655</v>
      </c>
      <c r="Z122" s="67" t="n">
        <f aca="false">IF(AND(mthbeg&lt;=A122,mthend&gt;=A122),1,0)</f>
        <v>0</v>
      </c>
      <c r="AA122" s="67" t="n">
        <f aca="false">U122*Z122</f>
        <v>0</v>
      </c>
      <c r="AC122" s="110" t="n">
        <f aca="false">F122*(H122-I122)</f>
        <v>0</v>
      </c>
      <c r="AD122" s="49"/>
      <c r="AE122" s="124"/>
    </row>
    <row r="123" customFormat="false" ht="12.75" hidden="false" customHeight="false" outlineLevel="0" collapsed="false">
      <c r="A123" s="115" t="n">
        <f aca="false">EDATE(A122,1)</f>
        <v>40695</v>
      </c>
      <c r="B123" s="116" t="n">
        <f aca="false">'Inputs-Summary'!$B$7</f>
        <v>3017157.21662952</v>
      </c>
      <c r="C123" s="57"/>
      <c r="D123" s="117" t="n">
        <f aca="false">B123+C123</f>
        <v>3017157.21662952</v>
      </c>
      <c r="E123" s="106" t="n">
        <f aca="false">IF(Z123=0,0,IF(AND(Z123=1,$H$3=1),D123*U123,IF($H$3=2,D123,"N/A")))</f>
        <v>0</v>
      </c>
      <c r="F123" s="106" t="n">
        <f aca="false">E123*Y123</f>
        <v>0</v>
      </c>
      <c r="G123" s="118" t="n">
        <f aca="false">VLOOKUP($A123,Table,MATCH(G$4,Curves,0))</f>
        <v>3</v>
      </c>
      <c r="H123" s="119" t="n">
        <f aca="false">G123+$H$7</f>
        <v>3</v>
      </c>
      <c r="I123" s="118" t="n">
        <f aca="false">'Inputs-Summary'!$B$16</f>
        <v>1.85</v>
      </c>
      <c r="J123" s="118" t="n">
        <f aca="false">VLOOKUP($A123,Table,MATCH(J$4,Curves,0))</f>
        <v>5</v>
      </c>
      <c r="K123" s="119" t="n">
        <f aca="false">J123+$K$7</f>
        <v>5</v>
      </c>
      <c r="L123" s="120" t="n">
        <f aca="false">K123</f>
        <v>5</v>
      </c>
      <c r="M123" s="118" t="n">
        <f aca="false">VLOOKUP($A123,Table,MATCH(M$4,Curves,0))</f>
        <v>5</v>
      </c>
      <c r="N123" s="119" t="n">
        <f aca="false">M123+$N$7</f>
        <v>5</v>
      </c>
      <c r="O123" s="120" t="n">
        <f aca="false">N123</f>
        <v>5</v>
      </c>
      <c r="P123" s="109"/>
      <c r="Q123" s="120" t="n">
        <f aca="false">IF($F$3=1,M123+J123+G123,J123+G123)</f>
        <v>8</v>
      </c>
      <c r="R123" s="120" t="n">
        <f aca="false">IF($F$3=1,N123+K123+H123,K123+H123)</f>
        <v>8</v>
      </c>
      <c r="S123" s="120" t="n">
        <f aca="false">IF($F$3=1,O123+L123+I123,L123+I123)</f>
        <v>6.85</v>
      </c>
      <c r="T123" s="121"/>
      <c r="U123" s="67" t="n">
        <f aca="false">A124-A123</f>
        <v>30</v>
      </c>
      <c r="V123" s="122" t="n">
        <f aca="false">CHOOSE(F$3,A124+24,A123)</f>
        <v>40695</v>
      </c>
      <c r="W123" s="67" t="n">
        <f aca="false">V123-C$3</f>
        <v>-5231</v>
      </c>
      <c r="X123" s="118" t="n">
        <f aca="false">VLOOKUP($A123,Table,MATCH(X$4,Curves,0))</f>
        <v>2</v>
      </c>
      <c r="Y123" s="123" t="n">
        <f aca="false">1/(1+CHOOSE(F$3,(X124+($K$3/10000))/2,(X123+($K$3/10000))/2))^(2*W123/365.25)</f>
        <v>419296322.21116</v>
      </c>
      <c r="Z123" s="67" t="n">
        <f aca="false">IF(AND(mthbeg&lt;=A123,mthend&gt;=A123),1,0)</f>
        <v>0</v>
      </c>
      <c r="AA123" s="67" t="n">
        <f aca="false">U123*Z123</f>
        <v>0</v>
      </c>
      <c r="AC123" s="110" t="n">
        <f aca="false">F123*(H123-I123)</f>
        <v>0</v>
      </c>
      <c r="AD123" s="49"/>
      <c r="AE123" s="124"/>
    </row>
    <row r="124" customFormat="false" ht="12.75" hidden="false" customHeight="false" outlineLevel="0" collapsed="false">
      <c r="A124" s="115" t="n">
        <f aca="false">EDATE(A123,1)</f>
        <v>40725</v>
      </c>
      <c r="B124" s="116" t="n">
        <f aca="false">'Inputs-Summary'!$B$7</f>
        <v>3017157.21662952</v>
      </c>
      <c r="C124" s="57"/>
      <c r="D124" s="117" t="n">
        <f aca="false">B124+C124</f>
        <v>3017157.21662952</v>
      </c>
      <c r="E124" s="106" t="n">
        <f aca="false">IF(Z124=0,0,IF(AND(Z124=1,$H$3=1),D124*U124,IF($H$3=2,D124,"N/A")))</f>
        <v>0</v>
      </c>
      <c r="F124" s="106" t="n">
        <f aca="false">E124*Y124</f>
        <v>0</v>
      </c>
      <c r="G124" s="118" t="n">
        <f aca="false">VLOOKUP($A124,Table,MATCH(G$4,Curves,0))</f>
        <v>3</v>
      </c>
      <c r="H124" s="119" t="n">
        <f aca="false">G124+$H$7</f>
        <v>3</v>
      </c>
      <c r="I124" s="118" t="n">
        <f aca="false">'Inputs-Summary'!$B$16</f>
        <v>1.85</v>
      </c>
      <c r="J124" s="118" t="n">
        <f aca="false">VLOOKUP($A124,Table,MATCH(J$4,Curves,0))</f>
        <v>5</v>
      </c>
      <c r="K124" s="119" t="n">
        <f aca="false">J124+$K$7</f>
        <v>5</v>
      </c>
      <c r="L124" s="120" t="n">
        <f aca="false">K124</f>
        <v>5</v>
      </c>
      <c r="M124" s="118" t="n">
        <f aca="false">VLOOKUP($A124,Table,MATCH(M$4,Curves,0))</f>
        <v>5</v>
      </c>
      <c r="N124" s="119" t="n">
        <f aca="false">M124+$N$7</f>
        <v>5</v>
      </c>
      <c r="O124" s="120" t="n">
        <f aca="false">N124</f>
        <v>5</v>
      </c>
      <c r="P124" s="109"/>
      <c r="Q124" s="120" t="n">
        <f aca="false">IF($F$3=1,M124+J124+G124,J124+G124)</f>
        <v>8</v>
      </c>
      <c r="R124" s="120" t="n">
        <f aca="false">IF($F$3=1,N124+K124+H124,K124+H124)</f>
        <v>8</v>
      </c>
      <c r="S124" s="120" t="n">
        <f aca="false">IF($F$3=1,O124+L124+I124,L124+I124)</f>
        <v>6.85</v>
      </c>
      <c r="T124" s="121"/>
      <c r="U124" s="67" t="n">
        <f aca="false">A125-A124</f>
        <v>31</v>
      </c>
      <c r="V124" s="122" t="n">
        <f aca="false">CHOOSE(F$3,A125+24,A124)</f>
        <v>40725</v>
      </c>
      <c r="W124" s="67" t="n">
        <f aca="false">V124-C$3</f>
        <v>-5201</v>
      </c>
      <c r="X124" s="118" t="n">
        <f aca="false">VLOOKUP($A124,Table,MATCH(X$4,Curves,0))</f>
        <v>2</v>
      </c>
      <c r="Y124" s="123" t="n">
        <f aca="false">1/(1+CHOOSE(F$3,(X125+($K$3/10000))/2,(X124+($K$3/10000))/2))^(2*W124/365.25)</f>
        <v>374171358.258698</v>
      </c>
      <c r="Z124" s="67" t="n">
        <f aca="false">IF(AND(mthbeg&lt;=A124,mthend&gt;=A124),1,0)</f>
        <v>0</v>
      </c>
      <c r="AA124" s="67" t="n">
        <f aca="false">U124*Z124</f>
        <v>0</v>
      </c>
      <c r="AC124" s="110" t="n">
        <f aca="false">F124*(H124-I124)</f>
        <v>0</v>
      </c>
      <c r="AD124" s="49"/>
      <c r="AE124" s="124"/>
    </row>
    <row r="125" customFormat="false" ht="12.75" hidden="false" customHeight="false" outlineLevel="0" collapsed="false">
      <c r="A125" s="115" t="n">
        <f aca="false">EDATE(A124,1)</f>
        <v>40756</v>
      </c>
      <c r="B125" s="116" t="n">
        <f aca="false">'Inputs-Summary'!$B$7</f>
        <v>3017157.21662952</v>
      </c>
      <c r="C125" s="57"/>
      <c r="D125" s="117" t="n">
        <f aca="false">B125+C125</f>
        <v>3017157.21662952</v>
      </c>
      <c r="E125" s="106" t="n">
        <f aca="false">IF(Z125=0,0,IF(AND(Z125=1,$H$3=1),D125*U125,IF($H$3=2,D125,"N/A")))</f>
        <v>0</v>
      </c>
      <c r="F125" s="106" t="n">
        <f aca="false">E125*Y125</f>
        <v>0</v>
      </c>
      <c r="G125" s="118" t="n">
        <f aca="false">VLOOKUP($A125,Table,MATCH(G$4,Curves,0))</f>
        <v>3</v>
      </c>
      <c r="H125" s="119" t="n">
        <f aca="false">G125+$H$7</f>
        <v>3</v>
      </c>
      <c r="I125" s="118" t="n">
        <f aca="false">'Inputs-Summary'!$B$16</f>
        <v>1.85</v>
      </c>
      <c r="J125" s="118" t="n">
        <f aca="false">VLOOKUP($A125,Table,MATCH(J$4,Curves,0))</f>
        <v>5</v>
      </c>
      <c r="K125" s="119" t="n">
        <f aca="false">J125+$K$7</f>
        <v>5</v>
      </c>
      <c r="L125" s="120" t="n">
        <f aca="false">K125</f>
        <v>5</v>
      </c>
      <c r="M125" s="118" t="n">
        <f aca="false">VLOOKUP($A125,Table,MATCH(M$4,Curves,0))</f>
        <v>5</v>
      </c>
      <c r="N125" s="119" t="n">
        <f aca="false">M125+$N$7</f>
        <v>5</v>
      </c>
      <c r="O125" s="120" t="n">
        <f aca="false">N125</f>
        <v>5</v>
      </c>
      <c r="P125" s="109"/>
      <c r="Q125" s="120" t="n">
        <f aca="false">IF($F$3=1,M125+J125+G125,J125+G125)</f>
        <v>8</v>
      </c>
      <c r="R125" s="120" t="n">
        <f aca="false">IF($F$3=1,N125+K125+H125,K125+H125)</f>
        <v>8</v>
      </c>
      <c r="S125" s="120" t="n">
        <f aca="false">IF($F$3=1,O125+L125+I125,L125+I125)</f>
        <v>6.85</v>
      </c>
      <c r="T125" s="121"/>
      <c r="U125" s="67" t="n">
        <f aca="false">A126-A125</f>
        <v>31</v>
      </c>
      <c r="V125" s="122" t="n">
        <f aca="false">CHOOSE(F$3,A126+24,A125)</f>
        <v>40756</v>
      </c>
      <c r="W125" s="67" t="n">
        <f aca="false">V125-C$3</f>
        <v>-5170</v>
      </c>
      <c r="X125" s="118" t="n">
        <f aca="false">VLOOKUP($A125,Table,MATCH(X$4,Curves,0))</f>
        <v>2</v>
      </c>
      <c r="Y125" s="123" t="n">
        <f aca="false">1/(1+CHOOSE(F$3,(X126+($K$3/10000))/2,(X125+($K$3/10000))/2))^(2*W125/365.25)</f>
        <v>332637859.533206</v>
      </c>
      <c r="Z125" s="67" t="n">
        <f aca="false">IF(AND(mthbeg&lt;=A125,mthend&gt;=A125),1,0)</f>
        <v>0</v>
      </c>
      <c r="AA125" s="67" t="n">
        <f aca="false">U125*Z125</f>
        <v>0</v>
      </c>
      <c r="AC125" s="110" t="n">
        <f aca="false">F125*(H125-I125)</f>
        <v>0</v>
      </c>
      <c r="AD125" s="49"/>
      <c r="AE125" s="124"/>
    </row>
    <row r="126" customFormat="false" ht="12.75" hidden="false" customHeight="false" outlineLevel="0" collapsed="false">
      <c r="A126" s="115" t="n">
        <f aca="false">EDATE(A125,1)</f>
        <v>40787</v>
      </c>
      <c r="B126" s="116" t="n">
        <f aca="false">'Inputs-Summary'!$B$7</f>
        <v>3017157.21662952</v>
      </c>
      <c r="C126" s="57"/>
      <c r="D126" s="117" t="n">
        <f aca="false">B126+C126</f>
        <v>3017157.21662952</v>
      </c>
      <c r="E126" s="106" t="n">
        <f aca="false">IF(Z126=0,0,IF(AND(Z126=1,$H$3=1),D126*U126,IF($H$3=2,D126,"N/A")))</f>
        <v>0</v>
      </c>
      <c r="F126" s="106" t="n">
        <f aca="false">E126*Y126</f>
        <v>0</v>
      </c>
      <c r="G126" s="118" t="n">
        <f aca="false">VLOOKUP($A126,Table,MATCH(G$4,Curves,0))</f>
        <v>3</v>
      </c>
      <c r="H126" s="119" t="n">
        <f aca="false">G126+$H$7</f>
        <v>3</v>
      </c>
      <c r="I126" s="118" t="n">
        <f aca="false">'Inputs-Summary'!$B$16</f>
        <v>1.85</v>
      </c>
      <c r="J126" s="118" t="n">
        <f aca="false">VLOOKUP($A126,Table,MATCH(J$4,Curves,0))</f>
        <v>5</v>
      </c>
      <c r="K126" s="119" t="n">
        <f aca="false">J126+$K$7</f>
        <v>5</v>
      </c>
      <c r="L126" s="120" t="n">
        <f aca="false">K126</f>
        <v>5</v>
      </c>
      <c r="M126" s="118" t="n">
        <f aca="false">VLOOKUP($A126,Table,MATCH(M$4,Curves,0))</f>
        <v>5</v>
      </c>
      <c r="N126" s="119" t="n">
        <f aca="false">M126+$N$7</f>
        <v>5</v>
      </c>
      <c r="O126" s="120" t="n">
        <f aca="false">N126</f>
        <v>5</v>
      </c>
      <c r="P126" s="109"/>
      <c r="Q126" s="120" t="n">
        <f aca="false">IF($F$3=1,M126+J126+G126,J126+G126)</f>
        <v>8</v>
      </c>
      <c r="R126" s="120" t="n">
        <f aca="false">IF($F$3=1,N126+K126+H126,K126+H126)</f>
        <v>8</v>
      </c>
      <c r="S126" s="120" t="n">
        <f aca="false">IF($F$3=1,O126+L126+I126,L126+I126)</f>
        <v>6.85</v>
      </c>
      <c r="T126" s="121"/>
      <c r="U126" s="67" t="n">
        <f aca="false">A127-A126</f>
        <v>30</v>
      </c>
      <c r="V126" s="122" t="n">
        <f aca="false">CHOOSE(F$3,A127+24,A126)</f>
        <v>40787</v>
      </c>
      <c r="W126" s="67" t="n">
        <f aca="false">V126-C$3</f>
        <v>-5139</v>
      </c>
      <c r="X126" s="118" t="n">
        <f aca="false">VLOOKUP($A126,Table,MATCH(X$4,Curves,0))</f>
        <v>2</v>
      </c>
      <c r="Y126" s="123" t="n">
        <f aca="false">1/(1+CHOOSE(F$3,(X127+($K$3/10000))/2,(X126+($K$3/10000))/2))^(2*W126/365.25)</f>
        <v>295714632.220278</v>
      </c>
      <c r="Z126" s="67" t="n">
        <f aca="false">IF(AND(mthbeg&lt;=A126,mthend&gt;=A126),1,0)</f>
        <v>0</v>
      </c>
      <c r="AA126" s="67" t="n">
        <f aca="false">U126*Z126</f>
        <v>0</v>
      </c>
      <c r="AC126" s="110" t="n">
        <f aca="false">F126*(H126-I126)</f>
        <v>0</v>
      </c>
      <c r="AD126" s="49"/>
      <c r="AE126" s="124"/>
    </row>
    <row r="127" customFormat="false" ht="12.75" hidden="false" customHeight="false" outlineLevel="0" collapsed="false">
      <c r="A127" s="115" t="n">
        <f aca="false">EDATE(A126,1)</f>
        <v>40817</v>
      </c>
      <c r="B127" s="116" t="n">
        <f aca="false">'Inputs-Summary'!$B$7</f>
        <v>3017157.21662952</v>
      </c>
      <c r="C127" s="57"/>
      <c r="D127" s="117" t="n">
        <f aca="false">B127+C127</f>
        <v>3017157.21662952</v>
      </c>
      <c r="E127" s="106" t="n">
        <f aca="false">IF(Z127=0,0,IF(AND(Z127=1,$H$3=1),D127*U127,IF($H$3=2,D127,"N/A")))</f>
        <v>0</v>
      </c>
      <c r="F127" s="106" t="n">
        <f aca="false">E127*Y127</f>
        <v>0</v>
      </c>
      <c r="G127" s="118" t="n">
        <f aca="false">VLOOKUP($A127,Table,MATCH(G$4,Curves,0))</f>
        <v>3</v>
      </c>
      <c r="H127" s="119" t="n">
        <f aca="false">G127+$H$7</f>
        <v>3</v>
      </c>
      <c r="I127" s="118" t="n">
        <f aca="false">'Inputs-Summary'!$B$16</f>
        <v>1.85</v>
      </c>
      <c r="J127" s="118" t="n">
        <f aca="false">VLOOKUP($A127,Table,MATCH(J$4,Curves,0))</f>
        <v>5</v>
      </c>
      <c r="K127" s="119" t="n">
        <f aca="false">J127+$K$7</f>
        <v>5</v>
      </c>
      <c r="L127" s="120" t="n">
        <f aca="false">K127</f>
        <v>5</v>
      </c>
      <c r="M127" s="118" t="n">
        <f aca="false">VLOOKUP($A127,Table,MATCH(M$4,Curves,0))</f>
        <v>5</v>
      </c>
      <c r="N127" s="119" t="n">
        <f aca="false">M127+$N$7</f>
        <v>5</v>
      </c>
      <c r="O127" s="120" t="n">
        <f aca="false">N127</f>
        <v>5</v>
      </c>
      <c r="P127" s="109"/>
      <c r="Q127" s="120" t="n">
        <f aca="false">IF($F$3=1,M127+J127+G127,J127+G127)</f>
        <v>8</v>
      </c>
      <c r="R127" s="120" t="n">
        <f aca="false">IF($F$3=1,N127+K127+H127,K127+H127)</f>
        <v>8</v>
      </c>
      <c r="S127" s="120" t="n">
        <f aca="false">IF($F$3=1,O127+L127+I127,L127+I127)</f>
        <v>6.85</v>
      </c>
      <c r="T127" s="121"/>
      <c r="U127" s="67" t="n">
        <f aca="false">A128-A127</f>
        <v>31</v>
      </c>
      <c r="V127" s="122" t="n">
        <f aca="false">CHOOSE(F$3,A128+24,A127)</f>
        <v>40817</v>
      </c>
      <c r="W127" s="67" t="n">
        <f aca="false">V127-C$3</f>
        <v>-5109</v>
      </c>
      <c r="X127" s="118" t="n">
        <f aca="false">VLOOKUP($A127,Table,MATCH(X$4,Curves,0))</f>
        <v>2</v>
      </c>
      <c r="Y127" s="123" t="n">
        <f aca="false">1/(1+CHOOSE(F$3,(X128+($K$3/10000))/2,(X127+($K$3/10000))/2))^(2*W127/365.25)</f>
        <v>263889616.325112</v>
      </c>
      <c r="Z127" s="67" t="n">
        <f aca="false">IF(AND(mthbeg&lt;=A127,mthend&gt;=A127),1,0)</f>
        <v>0</v>
      </c>
      <c r="AA127" s="67" t="n">
        <f aca="false">U127*Z127</f>
        <v>0</v>
      </c>
      <c r="AC127" s="110" t="n">
        <f aca="false">F127*(H127-I127)</f>
        <v>0</v>
      </c>
      <c r="AD127" s="49"/>
      <c r="AE127" s="124"/>
    </row>
    <row r="128" customFormat="false" ht="12.75" hidden="false" customHeight="false" outlineLevel="0" collapsed="false">
      <c r="A128" s="115" t="n">
        <f aca="false">EDATE(A127,1)</f>
        <v>40848</v>
      </c>
      <c r="B128" s="116" t="n">
        <f aca="false">'Inputs-Summary'!$B$7</f>
        <v>3017157.21662952</v>
      </c>
      <c r="C128" s="57"/>
      <c r="D128" s="117" t="n">
        <f aca="false">B128+C128</f>
        <v>3017157.21662952</v>
      </c>
      <c r="E128" s="106" t="n">
        <f aca="false">IF(Z128=0,0,IF(AND(Z128=1,$H$3=1),D128*U128,IF($H$3=2,D128,"N/A")))</f>
        <v>0</v>
      </c>
      <c r="F128" s="106" t="n">
        <f aca="false">E128*Y128</f>
        <v>0</v>
      </c>
      <c r="G128" s="118" t="n">
        <f aca="false">VLOOKUP($A128,Table,MATCH(G$4,Curves,0))</f>
        <v>3</v>
      </c>
      <c r="H128" s="119" t="n">
        <f aca="false">G128+$H$7</f>
        <v>3</v>
      </c>
      <c r="I128" s="118" t="n">
        <f aca="false">'Inputs-Summary'!$B$16</f>
        <v>1.85</v>
      </c>
      <c r="J128" s="118" t="n">
        <f aca="false">VLOOKUP($A128,Table,MATCH(J$4,Curves,0))</f>
        <v>5</v>
      </c>
      <c r="K128" s="119" t="n">
        <f aca="false">J128+$K$7</f>
        <v>5</v>
      </c>
      <c r="L128" s="120" t="n">
        <f aca="false">K128</f>
        <v>5</v>
      </c>
      <c r="M128" s="118" t="n">
        <f aca="false">VLOOKUP($A128,Table,MATCH(M$4,Curves,0))</f>
        <v>5</v>
      </c>
      <c r="N128" s="119" t="n">
        <f aca="false">M128+$N$7</f>
        <v>5</v>
      </c>
      <c r="O128" s="120" t="n">
        <f aca="false">N128</f>
        <v>5</v>
      </c>
      <c r="P128" s="109"/>
      <c r="Q128" s="120" t="n">
        <f aca="false">IF($F$3=1,M128+J128+G128,J128+G128)</f>
        <v>8</v>
      </c>
      <c r="R128" s="120" t="n">
        <f aca="false">IF($F$3=1,N128+K128+H128,K128+H128)</f>
        <v>8</v>
      </c>
      <c r="S128" s="120" t="n">
        <f aca="false">IF($F$3=1,O128+L128+I128,L128+I128)</f>
        <v>6.85</v>
      </c>
      <c r="T128" s="121"/>
      <c r="U128" s="67" t="n">
        <f aca="false">A129-A128</f>
        <v>30</v>
      </c>
      <c r="V128" s="122" t="n">
        <f aca="false">CHOOSE(F$3,A129+24,A128)</f>
        <v>40848</v>
      </c>
      <c r="W128" s="67" t="n">
        <f aca="false">V128-C$3</f>
        <v>-5078</v>
      </c>
      <c r="X128" s="118" t="n">
        <f aca="false">VLOOKUP($A128,Table,MATCH(X$4,Curves,0))</f>
        <v>2</v>
      </c>
      <c r="Y128" s="123" t="n">
        <f aca="false">1/(1+CHOOSE(F$3,(X129+($K$3/10000))/2,(X128+($K$3/10000))/2))^(2*W128/365.25)</f>
        <v>234597531.82587</v>
      </c>
      <c r="Z128" s="67" t="n">
        <f aca="false">IF(AND(mthbeg&lt;=A128,mthend&gt;=A128),1,0)</f>
        <v>0</v>
      </c>
      <c r="AA128" s="67" t="n">
        <f aca="false">U128*Z128</f>
        <v>0</v>
      </c>
      <c r="AC128" s="110" t="n">
        <f aca="false">F128*(H128-I128)</f>
        <v>0</v>
      </c>
      <c r="AD128" s="49"/>
      <c r="AE128" s="124"/>
    </row>
    <row r="129" customFormat="false" ht="12.75" hidden="false" customHeight="false" outlineLevel="0" collapsed="false">
      <c r="A129" s="115" t="n">
        <f aca="false">EDATE(A128,1)</f>
        <v>40878</v>
      </c>
      <c r="B129" s="116" t="n">
        <f aca="false">'Inputs-Summary'!$B$7</f>
        <v>3017157.21662952</v>
      </c>
      <c r="C129" s="57"/>
      <c r="D129" s="117" t="n">
        <f aca="false">B129+C129</f>
        <v>3017157.21662952</v>
      </c>
      <c r="E129" s="106" t="n">
        <f aca="false">IF(Z129=0,0,IF(AND(Z129=1,$H$3=1),D129*U129,IF($H$3=2,D129,"N/A")))</f>
        <v>0</v>
      </c>
      <c r="F129" s="106" t="n">
        <f aca="false">E129*Y129</f>
        <v>0</v>
      </c>
      <c r="G129" s="118" t="n">
        <f aca="false">VLOOKUP($A129,Table,MATCH(G$4,Curves,0))</f>
        <v>3</v>
      </c>
      <c r="H129" s="119" t="n">
        <f aca="false">G129+$H$7</f>
        <v>3</v>
      </c>
      <c r="I129" s="118" t="n">
        <f aca="false">'Inputs-Summary'!$B$16</f>
        <v>1.85</v>
      </c>
      <c r="J129" s="118" t="n">
        <f aca="false">VLOOKUP($A129,Table,MATCH(J$4,Curves,0))</f>
        <v>5</v>
      </c>
      <c r="K129" s="119" t="n">
        <f aca="false">J129+$K$7</f>
        <v>5</v>
      </c>
      <c r="L129" s="120" t="n">
        <f aca="false">K129</f>
        <v>5</v>
      </c>
      <c r="M129" s="118" t="n">
        <f aca="false">VLOOKUP($A129,Table,MATCH(M$4,Curves,0))</f>
        <v>5</v>
      </c>
      <c r="N129" s="119" t="n">
        <f aca="false">M129+$N$7</f>
        <v>5</v>
      </c>
      <c r="O129" s="120" t="n">
        <f aca="false">N129</f>
        <v>5</v>
      </c>
      <c r="P129" s="109"/>
      <c r="Q129" s="120" t="n">
        <f aca="false">IF($F$3=1,M129+J129+G129,J129+G129)</f>
        <v>8</v>
      </c>
      <c r="R129" s="120" t="n">
        <f aca="false">IF($F$3=1,N129+K129+H129,K129+H129)</f>
        <v>8</v>
      </c>
      <c r="S129" s="120" t="n">
        <f aca="false">IF($F$3=1,O129+L129+I129,L129+I129)</f>
        <v>6.85</v>
      </c>
      <c r="T129" s="121"/>
      <c r="U129" s="67" t="n">
        <f aca="false">A130-A129</f>
        <v>31</v>
      </c>
      <c r="V129" s="122" t="n">
        <f aca="false">CHOOSE(F$3,A130+24,A129)</f>
        <v>40878</v>
      </c>
      <c r="W129" s="67" t="n">
        <f aca="false">V129-C$3</f>
        <v>-5048</v>
      </c>
      <c r="X129" s="118" t="n">
        <f aca="false">VLOOKUP($A129,Table,MATCH(X$4,Curves,0))</f>
        <v>2</v>
      </c>
      <c r="Y129" s="123" t="n">
        <f aca="false">1/(1+CHOOSE(F$3,(X130+($K$3/10000))/2,(X129+($K$3/10000))/2))^(2*W129/365.25)</f>
        <v>209349981.093366</v>
      </c>
      <c r="Z129" s="67" t="n">
        <f aca="false">IF(AND(mthbeg&lt;=A129,mthend&gt;=A129),1,0)</f>
        <v>0</v>
      </c>
      <c r="AA129" s="67" t="n">
        <f aca="false">U129*Z129</f>
        <v>0</v>
      </c>
      <c r="AC129" s="110" t="n">
        <f aca="false">F129*(H129-I129)</f>
        <v>0</v>
      </c>
      <c r="AD129" s="49"/>
      <c r="AE129" s="124"/>
    </row>
    <row r="130" customFormat="false" ht="12.75" hidden="false" customHeight="false" outlineLevel="0" collapsed="false">
      <c r="A130" s="115" t="n">
        <f aca="false">EDATE(A129,1)</f>
        <v>40909</v>
      </c>
      <c r="B130" s="116" t="n">
        <f aca="false">'Inputs-Summary'!$B$7</f>
        <v>3017157.21662952</v>
      </c>
      <c r="C130" s="57"/>
      <c r="D130" s="117" t="n">
        <f aca="false">B130+C130</f>
        <v>3017157.21662952</v>
      </c>
      <c r="E130" s="106" t="n">
        <f aca="false">IF(Z130=0,0,IF(AND(Z130=1,$H$3=1),D130*U130,IF($H$3=2,D130,"N/A")))</f>
        <v>0</v>
      </c>
      <c r="F130" s="106" t="n">
        <f aca="false">E130*Y130</f>
        <v>0</v>
      </c>
      <c r="G130" s="118" t="n">
        <f aca="false">VLOOKUP($A130,Table,MATCH(G$4,Curves,0))</f>
        <v>3</v>
      </c>
      <c r="H130" s="119" t="n">
        <f aca="false">G130+$H$7</f>
        <v>3</v>
      </c>
      <c r="I130" s="118" t="n">
        <f aca="false">'Inputs-Summary'!$B$16</f>
        <v>1.85</v>
      </c>
      <c r="J130" s="118" t="n">
        <f aca="false">VLOOKUP($A130,Table,MATCH(J$4,Curves,0))</f>
        <v>5</v>
      </c>
      <c r="K130" s="119" t="n">
        <f aca="false">J130+$K$7</f>
        <v>5</v>
      </c>
      <c r="L130" s="120" t="n">
        <f aca="false">K130</f>
        <v>5</v>
      </c>
      <c r="M130" s="118" t="n">
        <f aca="false">VLOOKUP($A130,Table,MATCH(M$4,Curves,0))</f>
        <v>5</v>
      </c>
      <c r="N130" s="119" t="n">
        <f aca="false">M130+$N$7</f>
        <v>5</v>
      </c>
      <c r="O130" s="120" t="n">
        <f aca="false">N130</f>
        <v>5</v>
      </c>
      <c r="P130" s="109"/>
      <c r="Q130" s="120" t="n">
        <f aca="false">IF($F$3=1,M130+J130+G130,J130+G130)</f>
        <v>8</v>
      </c>
      <c r="R130" s="120" t="n">
        <f aca="false">IF($F$3=1,N130+K130+H130,K130+H130)</f>
        <v>8</v>
      </c>
      <c r="S130" s="120" t="n">
        <f aca="false">IF($F$3=1,O130+L130+I130,L130+I130)</f>
        <v>6.85</v>
      </c>
      <c r="T130" s="121"/>
      <c r="U130" s="67" t="n">
        <f aca="false">A131-A130</f>
        <v>31</v>
      </c>
      <c r="V130" s="122" t="n">
        <f aca="false">CHOOSE(F$3,A131+24,A130)</f>
        <v>40909</v>
      </c>
      <c r="W130" s="67" t="n">
        <f aca="false">V130-C$3</f>
        <v>-5017</v>
      </c>
      <c r="X130" s="118" t="n">
        <f aca="false">VLOOKUP($A130,Table,MATCH(X$4,Curves,0))</f>
        <v>2</v>
      </c>
      <c r="Y130" s="123" t="n">
        <f aca="false">1/(1+CHOOSE(F$3,(X131+($K$3/10000))/2,(X130+($K$3/10000))/2))^(2*W130/365.25)</f>
        <v>186111865.772654</v>
      </c>
      <c r="Z130" s="67" t="n">
        <f aca="false">IF(AND(mthbeg&lt;=A130,mthend&gt;=A130),1,0)</f>
        <v>0</v>
      </c>
      <c r="AA130" s="67" t="n">
        <f aca="false">U130*Z130</f>
        <v>0</v>
      </c>
      <c r="AC130" s="110" t="n">
        <f aca="false">F130*(H130-I130)</f>
        <v>0</v>
      </c>
      <c r="AD130" s="49"/>
      <c r="AE130" s="124"/>
    </row>
    <row r="131" customFormat="false" ht="12.75" hidden="false" customHeight="false" outlineLevel="0" collapsed="false">
      <c r="A131" s="115" t="n">
        <f aca="false">EDATE(A130,1)</f>
        <v>40940</v>
      </c>
      <c r="B131" s="116" t="n">
        <f aca="false">'Inputs-Summary'!$B$7</f>
        <v>3017157.21662952</v>
      </c>
      <c r="C131" s="57"/>
      <c r="D131" s="117" t="n">
        <f aca="false">B131+C131</f>
        <v>3017157.21662952</v>
      </c>
      <c r="E131" s="106" t="n">
        <f aca="false">IF(Z131=0,0,IF(AND(Z131=1,$H$3=1),D131*U131,IF($H$3=2,D131,"N/A")))</f>
        <v>0</v>
      </c>
      <c r="F131" s="106" t="n">
        <f aca="false">E131*Y131</f>
        <v>0</v>
      </c>
      <c r="G131" s="118" t="n">
        <f aca="false">VLOOKUP($A131,Table,MATCH(G$4,Curves,0))</f>
        <v>3</v>
      </c>
      <c r="H131" s="119" t="n">
        <f aca="false">G131+$H$7</f>
        <v>3</v>
      </c>
      <c r="I131" s="118" t="n">
        <f aca="false">'Inputs-Summary'!$B$16</f>
        <v>1.85</v>
      </c>
      <c r="J131" s="118" t="n">
        <f aca="false">VLOOKUP($A131,Table,MATCH(J$4,Curves,0))</f>
        <v>5</v>
      </c>
      <c r="K131" s="119" t="n">
        <f aca="false">J131+$K$7</f>
        <v>5</v>
      </c>
      <c r="L131" s="120" t="n">
        <f aca="false">K131</f>
        <v>5</v>
      </c>
      <c r="M131" s="118" t="n">
        <f aca="false">VLOOKUP($A131,Table,MATCH(M$4,Curves,0))</f>
        <v>5</v>
      </c>
      <c r="N131" s="119" t="n">
        <f aca="false">M131+$N$7</f>
        <v>5</v>
      </c>
      <c r="O131" s="120" t="n">
        <f aca="false">N131</f>
        <v>5</v>
      </c>
      <c r="P131" s="109"/>
      <c r="Q131" s="120" t="n">
        <f aca="false">IF($F$3=1,M131+J131+G131,J131+G131)</f>
        <v>8</v>
      </c>
      <c r="R131" s="120" t="n">
        <f aca="false">IF($F$3=1,N131+K131+H131,K131+H131)</f>
        <v>8</v>
      </c>
      <c r="S131" s="120" t="n">
        <f aca="false">IF($F$3=1,O131+L131+I131,L131+I131)</f>
        <v>6.85</v>
      </c>
      <c r="T131" s="121"/>
      <c r="U131" s="67" t="n">
        <f aca="false">A132-A131</f>
        <v>29</v>
      </c>
      <c r="V131" s="122" t="n">
        <f aca="false">CHOOSE(F$3,A132+24,A131)</f>
        <v>40940</v>
      </c>
      <c r="W131" s="67" t="n">
        <f aca="false">V131-C$3</f>
        <v>-4986</v>
      </c>
      <c r="X131" s="118" t="n">
        <f aca="false">VLOOKUP($A131,Table,MATCH(X$4,Curves,0))</f>
        <v>2</v>
      </c>
      <c r="Y131" s="123" t="n">
        <f aca="false">1/(1+CHOOSE(F$3,(X132+($K$3/10000))/2,(X131+($K$3/10000))/2))^(2*W131/365.25)</f>
        <v>165453210.93643</v>
      </c>
      <c r="Z131" s="67" t="n">
        <f aca="false">IF(AND(mthbeg&lt;=A131,mthend&gt;=A131),1,0)</f>
        <v>0</v>
      </c>
      <c r="AA131" s="67" t="n">
        <f aca="false">U131*Z131</f>
        <v>0</v>
      </c>
      <c r="AC131" s="110" t="n">
        <f aca="false">F131*(H131-I131)</f>
        <v>0</v>
      </c>
      <c r="AD131" s="49"/>
      <c r="AE131" s="124"/>
    </row>
    <row r="132" customFormat="false" ht="12.75" hidden="false" customHeight="false" outlineLevel="0" collapsed="false">
      <c r="A132" s="115" t="n">
        <f aca="false">EDATE(A131,1)</f>
        <v>40969</v>
      </c>
      <c r="B132" s="116" t="n">
        <f aca="false">'Inputs-Summary'!$B$7</f>
        <v>3017157.21662952</v>
      </c>
      <c r="C132" s="57"/>
      <c r="D132" s="117" t="n">
        <f aca="false">B132+C132</f>
        <v>3017157.21662952</v>
      </c>
      <c r="E132" s="106" t="n">
        <f aca="false">IF(Z132=0,0,IF(AND(Z132=1,$H$3=1),D132*U132,IF($H$3=2,D132,"N/A")))</f>
        <v>0</v>
      </c>
      <c r="F132" s="106" t="n">
        <f aca="false">E132*Y132</f>
        <v>0</v>
      </c>
      <c r="G132" s="118" t="n">
        <f aca="false">VLOOKUP($A132,Table,MATCH(G$4,Curves,0))</f>
        <v>3</v>
      </c>
      <c r="H132" s="119" t="n">
        <f aca="false">G132+$H$7</f>
        <v>3</v>
      </c>
      <c r="I132" s="118" t="n">
        <f aca="false">'Inputs-Summary'!$B$16</f>
        <v>1.85</v>
      </c>
      <c r="J132" s="118" t="n">
        <f aca="false">VLOOKUP($A132,Table,MATCH(J$4,Curves,0))</f>
        <v>5</v>
      </c>
      <c r="K132" s="119" t="n">
        <f aca="false">J132+$K$7</f>
        <v>5</v>
      </c>
      <c r="L132" s="120" t="n">
        <f aca="false">K132</f>
        <v>5</v>
      </c>
      <c r="M132" s="118" t="n">
        <f aca="false">VLOOKUP($A132,Table,MATCH(M$4,Curves,0))</f>
        <v>5</v>
      </c>
      <c r="N132" s="119" t="n">
        <f aca="false">M132+$N$7</f>
        <v>5</v>
      </c>
      <c r="O132" s="120" t="n">
        <f aca="false">N132</f>
        <v>5</v>
      </c>
      <c r="P132" s="109"/>
      <c r="Q132" s="120" t="n">
        <f aca="false">IF($F$3=1,M132+J132+G132,J132+G132)</f>
        <v>8</v>
      </c>
      <c r="R132" s="120" t="n">
        <f aca="false">IF($F$3=1,N132+K132+H132,K132+H132)</f>
        <v>8</v>
      </c>
      <c r="S132" s="120" t="n">
        <f aca="false">IF($F$3=1,O132+L132+I132,L132+I132)</f>
        <v>6.85</v>
      </c>
      <c r="T132" s="121"/>
      <c r="U132" s="67" t="n">
        <f aca="false">A133-A132</f>
        <v>31</v>
      </c>
      <c r="V132" s="122" t="n">
        <f aca="false">CHOOSE(F$3,A133+24,A132)</f>
        <v>40969</v>
      </c>
      <c r="W132" s="67" t="n">
        <f aca="false">V132-C$3</f>
        <v>-4957</v>
      </c>
      <c r="X132" s="118" t="n">
        <f aca="false">VLOOKUP($A132,Table,MATCH(X$4,Curves,0))</f>
        <v>2</v>
      </c>
      <c r="Y132" s="123" t="n">
        <f aca="false">1/(1+CHOOSE(F$3,(X133+($K$3/10000))/2,(X132+($K$3/10000))/2))^(2*W132/365.25)</f>
        <v>148208474.686317</v>
      </c>
      <c r="Z132" s="67" t="n">
        <f aca="false">IF(AND(mthbeg&lt;=A132,mthend&gt;=A132),1,0)</f>
        <v>0</v>
      </c>
      <c r="AA132" s="67" t="n">
        <f aca="false">U132*Z132</f>
        <v>0</v>
      </c>
      <c r="AC132" s="110" t="n">
        <f aca="false">F132*(H132-I132)</f>
        <v>0</v>
      </c>
      <c r="AD132" s="49"/>
      <c r="AE132" s="124"/>
    </row>
    <row r="133" customFormat="false" ht="12.75" hidden="false" customHeight="false" outlineLevel="0" collapsed="false">
      <c r="A133" s="115" t="n">
        <f aca="false">EDATE(A132,1)</f>
        <v>41000</v>
      </c>
      <c r="B133" s="116" t="n">
        <f aca="false">'Inputs-Summary'!$B$7</f>
        <v>3017157.21662952</v>
      </c>
      <c r="C133" s="57"/>
      <c r="D133" s="117" t="n">
        <f aca="false">B133+C133</f>
        <v>3017157.21662952</v>
      </c>
      <c r="E133" s="106" t="n">
        <f aca="false">IF(Z133=0,0,IF(AND(Z133=1,$H$3=1),D133*U133,IF($H$3=2,D133,"N/A")))</f>
        <v>0</v>
      </c>
      <c r="F133" s="106" t="n">
        <f aca="false">E133*Y133</f>
        <v>0</v>
      </c>
      <c r="G133" s="118" t="n">
        <f aca="false">VLOOKUP($A133,Table,MATCH(G$4,Curves,0))</f>
        <v>3</v>
      </c>
      <c r="H133" s="119" t="n">
        <f aca="false">G133+$H$7</f>
        <v>3</v>
      </c>
      <c r="I133" s="118" t="n">
        <f aca="false">'Inputs-Summary'!$B$16</f>
        <v>1.85</v>
      </c>
      <c r="J133" s="118" t="n">
        <f aca="false">VLOOKUP($A133,Table,MATCH(J$4,Curves,0))</f>
        <v>5</v>
      </c>
      <c r="K133" s="119" t="n">
        <f aca="false">J133+$K$7</f>
        <v>5</v>
      </c>
      <c r="L133" s="120" t="n">
        <f aca="false">K133</f>
        <v>5</v>
      </c>
      <c r="M133" s="118" t="n">
        <f aca="false">VLOOKUP($A133,Table,MATCH(M$4,Curves,0))</f>
        <v>5</v>
      </c>
      <c r="N133" s="119" t="n">
        <f aca="false">M133+$N$7</f>
        <v>5</v>
      </c>
      <c r="O133" s="120" t="n">
        <f aca="false">N133</f>
        <v>5</v>
      </c>
      <c r="P133" s="109"/>
      <c r="Q133" s="120" t="n">
        <f aca="false">IF($F$3=1,M133+J133+G133,J133+G133)</f>
        <v>8</v>
      </c>
      <c r="R133" s="120" t="n">
        <f aca="false">IF($F$3=1,N133+K133+H133,K133+H133)</f>
        <v>8</v>
      </c>
      <c r="S133" s="120" t="n">
        <f aca="false">IF($F$3=1,O133+L133+I133,L133+I133)</f>
        <v>6.85</v>
      </c>
      <c r="T133" s="121"/>
      <c r="U133" s="67" t="n">
        <f aca="false">A134-A133</f>
        <v>30</v>
      </c>
      <c r="V133" s="122" t="n">
        <f aca="false">CHOOSE(F$3,A134+24,A133)</f>
        <v>41000</v>
      </c>
      <c r="W133" s="67" t="n">
        <f aca="false">V133-C$3</f>
        <v>-4926</v>
      </c>
      <c r="X133" s="118" t="n">
        <f aca="false">VLOOKUP($A133,Table,MATCH(X$4,Curves,0))</f>
        <v>2</v>
      </c>
      <c r="Y133" s="123" t="n">
        <f aca="false">1/(1+CHOOSE(F$3,(X134+($K$3/10000))/2,(X133+($K$3/10000))/2))^(2*W133/365.25)</f>
        <v>131757144.677687</v>
      </c>
      <c r="Z133" s="67" t="n">
        <f aca="false">IF(AND(mthbeg&lt;=A133,mthend&gt;=A133),1,0)</f>
        <v>0</v>
      </c>
      <c r="AA133" s="67" t="n">
        <f aca="false">U133*Z133</f>
        <v>0</v>
      </c>
      <c r="AC133" s="110" t="n">
        <f aca="false">F133*(H133-I133)</f>
        <v>0</v>
      </c>
      <c r="AD133" s="49"/>
      <c r="AE133" s="124"/>
    </row>
    <row r="134" customFormat="false" ht="12.75" hidden="false" customHeight="false" outlineLevel="0" collapsed="false">
      <c r="A134" s="115" t="n">
        <f aca="false">EDATE(A133,1)</f>
        <v>41030</v>
      </c>
      <c r="B134" s="116" t="n">
        <f aca="false">'Inputs-Summary'!$B$7</f>
        <v>3017157.21662952</v>
      </c>
      <c r="C134" s="57"/>
      <c r="D134" s="117" t="n">
        <f aca="false">B134+C134</f>
        <v>3017157.21662952</v>
      </c>
      <c r="E134" s="106" t="n">
        <f aca="false">IF(Z134=0,0,IF(AND(Z134=1,$H$3=1),D134*U134,IF($H$3=2,D134,"N/A")))</f>
        <v>0</v>
      </c>
      <c r="F134" s="106" t="n">
        <f aca="false">E134*Y134</f>
        <v>0</v>
      </c>
      <c r="G134" s="118" t="n">
        <f aca="false">VLOOKUP($A134,Table,MATCH(G$4,Curves,0))</f>
        <v>3</v>
      </c>
      <c r="H134" s="119" t="n">
        <f aca="false">G134+$H$7</f>
        <v>3</v>
      </c>
      <c r="I134" s="118" t="n">
        <f aca="false">'Inputs-Summary'!$B$16</f>
        <v>1.85</v>
      </c>
      <c r="J134" s="118" t="n">
        <f aca="false">VLOOKUP($A134,Table,MATCH(J$4,Curves,0))</f>
        <v>5</v>
      </c>
      <c r="K134" s="119" t="n">
        <f aca="false">J134+$K$7</f>
        <v>5</v>
      </c>
      <c r="L134" s="120" t="n">
        <f aca="false">K134</f>
        <v>5</v>
      </c>
      <c r="M134" s="118" t="n">
        <f aca="false">VLOOKUP($A134,Table,MATCH(M$4,Curves,0))</f>
        <v>5</v>
      </c>
      <c r="N134" s="119" t="n">
        <f aca="false">M134+$N$7</f>
        <v>5</v>
      </c>
      <c r="O134" s="120" t="n">
        <f aca="false">N134</f>
        <v>5</v>
      </c>
      <c r="P134" s="109"/>
      <c r="Q134" s="120" t="n">
        <f aca="false">IF($F$3=1,M134+J134+G134,J134+G134)</f>
        <v>8</v>
      </c>
      <c r="R134" s="120" t="n">
        <f aca="false">IF($F$3=1,N134+K134+H134,K134+H134)</f>
        <v>8</v>
      </c>
      <c r="S134" s="120" t="n">
        <f aca="false">IF($F$3=1,O134+L134+I134,L134+I134)</f>
        <v>6.85</v>
      </c>
      <c r="T134" s="121"/>
      <c r="U134" s="67" t="n">
        <f aca="false">A135-A134</f>
        <v>31</v>
      </c>
      <c r="V134" s="122" t="n">
        <f aca="false">CHOOSE(F$3,A135+24,A134)</f>
        <v>41030</v>
      </c>
      <c r="W134" s="67" t="n">
        <f aca="false">V134-C$3</f>
        <v>-4896</v>
      </c>
      <c r="X134" s="118" t="n">
        <f aca="false">VLOOKUP($A134,Table,MATCH(X$4,Curves,0))</f>
        <v>2</v>
      </c>
      <c r="Y134" s="123" t="n">
        <f aca="false">1/(1+CHOOSE(F$3,(X135+($K$3/10000))/2,(X134+($K$3/10000))/2))^(2*W134/365.25)</f>
        <v>117577348.459332</v>
      </c>
      <c r="Z134" s="67" t="n">
        <f aca="false">IF(AND(mthbeg&lt;=A134,mthend&gt;=A134),1,0)</f>
        <v>0</v>
      </c>
      <c r="AA134" s="67" t="n">
        <f aca="false">U134*Z134</f>
        <v>0</v>
      </c>
      <c r="AC134" s="110" t="n">
        <f aca="false">F134*(H134-I134)</f>
        <v>0</v>
      </c>
      <c r="AD134" s="49"/>
      <c r="AE134" s="124"/>
    </row>
    <row r="135" customFormat="false" ht="12.75" hidden="false" customHeight="false" outlineLevel="0" collapsed="false">
      <c r="A135" s="115" t="n">
        <f aca="false">EDATE(A134,1)</f>
        <v>41061</v>
      </c>
      <c r="B135" s="116" t="n">
        <f aca="false">'Inputs-Summary'!$B$7</f>
        <v>3017157.21662952</v>
      </c>
      <c r="C135" s="57"/>
      <c r="D135" s="117" t="n">
        <f aca="false">B135+C135</f>
        <v>3017157.21662952</v>
      </c>
      <c r="E135" s="106" t="n">
        <f aca="false">IF(Z135=0,0,IF(AND(Z135=1,$H$3=1),D135*U135,IF($H$3=2,D135,"N/A")))</f>
        <v>0</v>
      </c>
      <c r="F135" s="106" t="n">
        <f aca="false">E135*Y135</f>
        <v>0</v>
      </c>
      <c r="G135" s="118" t="n">
        <f aca="false">VLOOKUP($A135,Table,MATCH(G$4,Curves,0))</f>
        <v>3</v>
      </c>
      <c r="H135" s="119" t="n">
        <f aca="false">G135+$H$7</f>
        <v>3</v>
      </c>
      <c r="I135" s="118" t="n">
        <f aca="false">'Inputs-Summary'!$B$16</f>
        <v>1.85</v>
      </c>
      <c r="J135" s="118" t="n">
        <f aca="false">VLOOKUP($A135,Table,MATCH(J$4,Curves,0))</f>
        <v>5</v>
      </c>
      <c r="K135" s="119" t="n">
        <f aca="false">J135+$K$7</f>
        <v>5</v>
      </c>
      <c r="L135" s="120" t="n">
        <f aca="false">K135</f>
        <v>5</v>
      </c>
      <c r="M135" s="118" t="n">
        <f aca="false">VLOOKUP($A135,Table,MATCH(M$4,Curves,0))</f>
        <v>5</v>
      </c>
      <c r="N135" s="119" t="n">
        <f aca="false">M135+$N$7</f>
        <v>5</v>
      </c>
      <c r="O135" s="120" t="n">
        <f aca="false">N135</f>
        <v>5</v>
      </c>
      <c r="P135" s="109"/>
      <c r="Q135" s="120" t="n">
        <f aca="false">IF($F$3=1,M135+J135+G135,J135+G135)</f>
        <v>8</v>
      </c>
      <c r="R135" s="120" t="n">
        <f aca="false">IF($F$3=1,N135+K135+H135,K135+H135)</f>
        <v>8</v>
      </c>
      <c r="S135" s="120" t="n">
        <f aca="false">IF($F$3=1,O135+L135+I135,L135+I135)</f>
        <v>6.85</v>
      </c>
      <c r="T135" s="121"/>
      <c r="U135" s="67" t="n">
        <f aca="false">A136-A135</f>
        <v>30</v>
      </c>
      <c r="V135" s="122" t="n">
        <f aca="false">CHOOSE(F$3,A136+24,A135)</f>
        <v>41061</v>
      </c>
      <c r="W135" s="67" t="n">
        <f aca="false">V135-C$3</f>
        <v>-4865</v>
      </c>
      <c r="X135" s="118" t="n">
        <f aca="false">VLOOKUP($A135,Table,MATCH(X$4,Curves,0))</f>
        <v>2</v>
      </c>
      <c r="Y135" s="123" t="n">
        <f aca="false">1/(1+CHOOSE(F$3,(X136+($K$3/10000))/2,(X135+($K$3/10000))/2))^(2*W135/365.25)</f>
        <v>104526112.589466</v>
      </c>
      <c r="Z135" s="67" t="n">
        <f aca="false">IF(AND(mthbeg&lt;=A135,mthend&gt;=A135),1,0)</f>
        <v>0</v>
      </c>
      <c r="AA135" s="67" t="n">
        <f aca="false">U135*Z135</f>
        <v>0</v>
      </c>
      <c r="AC135" s="110" t="n">
        <f aca="false">F135*(H135-I135)</f>
        <v>0</v>
      </c>
      <c r="AD135" s="49"/>
      <c r="AE135" s="124"/>
    </row>
    <row r="136" customFormat="false" ht="12.75" hidden="false" customHeight="false" outlineLevel="0" collapsed="false">
      <c r="A136" s="115" t="n">
        <f aca="false">EDATE(A135,1)</f>
        <v>41091</v>
      </c>
      <c r="B136" s="116" t="n">
        <f aca="false">'Inputs-Summary'!$B$7</f>
        <v>3017157.21662952</v>
      </c>
      <c r="C136" s="57"/>
      <c r="D136" s="117" t="n">
        <f aca="false">B136+C136</f>
        <v>3017157.21662952</v>
      </c>
      <c r="E136" s="106" t="n">
        <f aca="false">IF(Z136=0,0,IF(AND(Z136=1,$H$3=1),D136*U136,IF($H$3=2,D136,"N/A")))</f>
        <v>0</v>
      </c>
      <c r="F136" s="106" t="n">
        <f aca="false">E136*Y136</f>
        <v>0</v>
      </c>
      <c r="G136" s="118" t="n">
        <f aca="false">VLOOKUP($A136,Table,MATCH(G$4,Curves,0))</f>
        <v>3</v>
      </c>
      <c r="H136" s="119" t="n">
        <f aca="false">G136+$H$7</f>
        <v>3</v>
      </c>
      <c r="I136" s="118" t="n">
        <f aca="false">'Inputs-Summary'!$B$16</f>
        <v>1.85</v>
      </c>
      <c r="J136" s="118" t="n">
        <f aca="false">VLOOKUP($A136,Table,MATCH(J$4,Curves,0))</f>
        <v>5</v>
      </c>
      <c r="K136" s="119" t="n">
        <f aca="false">J136+$K$7</f>
        <v>5</v>
      </c>
      <c r="L136" s="120" t="n">
        <f aca="false">K136</f>
        <v>5</v>
      </c>
      <c r="M136" s="118" t="n">
        <f aca="false">VLOOKUP($A136,Table,MATCH(M$4,Curves,0))</f>
        <v>5</v>
      </c>
      <c r="N136" s="119" t="n">
        <f aca="false">M136+$N$7</f>
        <v>5</v>
      </c>
      <c r="O136" s="120" t="n">
        <f aca="false">N136</f>
        <v>5</v>
      </c>
      <c r="P136" s="109"/>
      <c r="Q136" s="120" t="n">
        <f aca="false">IF($F$3=1,M136+J136+G136,J136+G136)</f>
        <v>8</v>
      </c>
      <c r="R136" s="120" t="n">
        <f aca="false">IF($F$3=1,N136+K136+H136,K136+H136)</f>
        <v>8</v>
      </c>
      <c r="S136" s="120" t="n">
        <f aca="false">IF($F$3=1,O136+L136+I136,L136+I136)</f>
        <v>6.85</v>
      </c>
      <c r="T136" s="121"/>
      <c r="U136" s="67" t="n">
        <f aca="false">A137-A136</f>
        <v>31</v>
      </c>
      <c r="V136" s="122" t="n">
        <f aca="false">CHOOSE(F$3,A137+24,A136)</f>
        <v>41091</v>
      </c>
      <c r="W136" s="67" t="n">
        <f aca="false">V136-C$3</f>
        <v>-4835</v>
      </c>
      <c r="X136" s="118" t="n">
        <f aca="false">VLOOKUP($A136,Table,MATCH(X$4,Curves,0))</f>
        <v>2</v>
      </c>
      <c r="Y136" s="123" t="n">
        <f aca="false">1/(1+CHOOSE(F$3,(X137+($K$3/10000))/2,(X136+($K$3/10000))/2))^(2*W136/365.25)</f>
        <v>93276939.1223179</v>
      </c>
      <c r="Z136" s="67" t="n">
        <f aca="false">IF(AND(mthbeg&lt;=A136,mthend&gt;=A136),1,0)</f>
        <v>0</v>
      </c>
      <c r="AA136" s="67" t="n">
        <f aca="false">U136*Z136</f>
        <v>0</v>
      </c>
      <c r="AC136" s="110" t="n">
        <f aca="false">F136*(H136-I136)</f>
        <v>0</v>
      </c>
      <c r="AD136" s="49"/>
      <c r="AE136" s="124"/>
    </row>
    <row r="137" customFormat="false" ht="12.75" hidden="false" customHeight="false" outlineLevel="0" collapsed="false">
      <c r="A137" s="115" t="n">
        <f aca="false">EDATE(A136,1)</f>
        <v>41122</v>
      </c>
      <c r="B137" s="116" t="n">
        <f aca="false">'Inputs-Summary'!$B$7</f>
        <v>3017157.21662952</v>
      </c>
      <c r="C137" s="57"/>
      <c r="D137" s="117" t="n">
        <f aca="false">B137+C137</f>
        <v>3017157.21662952</v>
      </c>
      <c r="E137" s="106" t="n">
        <f aca="false">IF(Z137=0,0,IF(AND(Z137=1,$H$3=1),D137*U137,IF($H$3=2,D137,"N/A")))</f>
        <v>0</v>
      </c>
      <c r="F137" s="106" t="n">
        <f aca="false">E137*Y137</f>
        <v>0</v>
      </c>
      <c r="G137" s="118" t="n">
        <f aca="false">VLOOKUP($A137,Table,MATCH(G$4,Curves,0))</f>
        <v>3</v>
      </c>
      <c r="H137" s="119" t="n">
        <f aca="false">G137+$H$7</f>
        <v>3</v>
      </c>
      <c r="I137" s="118" t="n">
        <f aca="false">'Inputs-Summary'!$B$16</f>
        <v>1.85</v>
      </c>
      <c r="J137" s="118" t="n">
        <f aca="false">VLOOKUP($A137,Table,MATCH(J$4,Curves,0))</f>
        <v>5</v>
      </c>
      <c r="K137" s="119" t="n">
        <f aca="false">J137+$K$7</f>
        <v>5</v>
      </c>
      <c r="L137" s="120" t="n">
        <f aca="false">K137</f>
        <v>5</v>
      </c>
      <c r="M137" s="118" t="n">
        <f aca="false">VLOOKUP($A137,Table,MATCH(M$4,Curves,0))</f>
        <v>5</v>
      </c>
      <c r="N137" s="119" t="n">
        <f aca="false">M137+$N$7</f>
        <v>5</v>
      </c>
      <c r="O137" s="120" t="n">
        <f aca="false">N137</f>
        <v>5</v>
      </c>
      <c r="P137" s="109"/>
      <c r="Q137" s="120" t="n">
        <f aca="false">IF($F$3=1,M137+J137+G137,J137+G137)</f>
        <v>8</v>
      </c>
      <c r="R137" s="120" t="n">
        <f aca="false">IF($F$3=1,N137+K137+H137,K137+H137)</f>
        <v>8</v>
      </c>
      <c r="S137" s="120" t="n">
        <f aca="false">IF($F$3=1,O137+L137+I137,L137+I137)</f>
        <v>6.85</v>
      </c>
      <c r="T137" s="121"/>
      <c r="U137" s="67" t="n">
        <f aca="false">A138-A137</f>
        <v>31</v>
      </c>
      <c r="V137" s="122" t="n">
        <f aca="false">CHOOSE(F$3,A138+24,A137)</f>
        <v>41122</v>
      </c>
      <c r="W137" s="67" t="n">
        <f aca="false">V137-C$3</f>
        <v>-4804</v>
      </c>
      <c r="X137" s="118" t="n">
        <f aca="false">VLOOKUP($A137,Table,MATCH(X$4,Curves,0))</f>
        <v>2</v>
      </c>
      <c r="Y137" s="123" t="n">
        <f aca="false">1/(1+CHOOSE(F$3,(X138+($K$3/10000))/2,(X137+($K$3/10000))/2))^(2*W137/365.25)</f>
        <v>82923079.729702</v>
      </c>
      <c r="Z137" s="67" t="n">
        <f aca="false">IF(AND(mthbeg&lt;=A137,mthend&gt;=A137),1,0)</f>
        <v>0</v>
      </c>
      <c r="AA137" s="67" t="n">
        <f aca="false">U137*Z137</f>
        <v>0</v>
      </c>
      <c r="AC137" s="110" t="n">
        <f aca="false">F137*(H137-I137)</f>
        <v>0</v>
      </c>
      <c r="AD137" s="49"/>
      <c r="AE137" s="124"/>
    </row>
    <row r="138" customFormat="false" ht="12.75" hidden="false" customHeight="false" outlineLevel="0" collapsed="false">
      <c r="A138" s="115" t="n">
        <f aca="false">EDATE(A137,1)</f>
        <v>41153</v>
      </c>
      <c r="B138" s="116" t="n">
        <f aca="false">'Inputs-Summary'!$B$7</f>
        <v>3017157.21662952</v>
      </c>
      <c r="C138" s="57"/>
      <c r="D138" s="117" t="n">
        <f aca="false">B138+C138</f>
        <v>3017157.21662952</v>
      </c>
      <c r="E138" s="106" t="n">
        <f aca="false">IF(Z138=0,0,IF(AND(Z138=1,$H$3=1),D138*U138,IF($H$3=2,D138,"N/A")))</f>
        <v>0</v>
      </c>
      <c r="F138" s="106" t="n">
        <f aca="false">E138*Y138</f>
        <v>0</v>
      </c>
      <c r="G138" s="118" t="n">
        <f aca="false">VLOOKUP($A138,Table,MATCH(G$4,Curves,0))</f>
        <v>3</v>
      </c>
      <c r="H138" s="119" t="n">
        <f aca="false">G138+$H$7</f>
        <v>3</v>
      </c>
      <c r="I138" s="118" t="n">
        <f aca="false">'Inputs-Summary'!$B$16</f>
        <v>1.85</v>
      </c>
      <c r="J138" s="118" t="n">
        <f aca="false">VLOOKUP($A138,Table,MATCH(J$4,Curves,0))</f>
        <v>5</v>
      </c>
      <c r="K138" s="119" t="n">
        <f aca="false">J138+$K$7</f>
        <v>5</v>
      </c>
      <c r="L138" s="120" t="n">
        <f aca="false">K138</f>
        <v>5</v>
      </c>
      <c r="M138" s="118" t="n">
        <f aca="false">VLOOKUP($A138,Table,MATCH(M$4,Curves,0))</f>
        <v>5</v>
      </c>
      <c r="N138" s="119" t="n">
        <f aca="false">M138+$N$7</f>
        <v>5</v>
      </c>
      <c r="O138" s="120" t="n">
        <f aca="false">N138</f>
        <v>5</v>
      </c>
      <c r="P138" s="109"/>
      <c r="Q138" s="120" t="n">
        <f aca="false">IF($F$3=1,M138+J138+G138,J138+G138)</f>
        <v>8</v>
      </c>
      <c r="R138" s="120" t="n">
        <f aca="false">IF($F$3=1,N138+K138+H138,K138+H138)</f>
        <v>8</v>
      </c>
      <c r="S138" s="120" t="n">
        <f aca="false">IF($F$3=1,O138+L138+I138,L138+I138)</f>
        <v>6.85</v>
      </c>
      <c r="T138" s="121"/>
      <c r="U138" s="67" t="n">
        <f aca="false">A139-A138</f>
        <v>30</v>
      </c>
      <c r="V138" s="122" t="n">
        <f aca="false">CHOOSE(F$3,A139+24,A138)</f>
        <v>41153</v>
      </c>
      <c r="W138" s="67" t="n">
        <f aca="false">V138-C$3</f>
        <v>-4773</v>
      </c>
      <c r="X138" s="118" t="n">
        <f aca="false">VLOOKUP($A138,Table,MATCH(X$4,Curves,0))</f>
        <v>2</v>
      </c>
      <c r="Y138" s="123" t="n">
        <f aca="false">1/(1+CHOOSE(F$3,(X139+($K$3/10000))/2,(X138+($K$3/10000))/2))^(2*W138/365.25)</f>
        <v>73718511.9554731</v>
      </c>
      <c r="Z138" s="67" t="n">
        <f aca="false">IF(AND(mthbeg&lt;=A138,mthend&gt;=A138),1,0)</f>
        <v>0</v>
      </c>
      <c r="AA138" s="67" t="n">
        <f aca="false">U138*Z138</f>
        <v>0</v>
      </c>
      <c r="AC138" s="110" t="n">
        <f aca="false">F138*(H138-I138)</f>
        <v>0</v>
      </c>
      <c r="AD138" s="49"/>
      <c r="AE138" s="124"/>
    </row>
    <row r="139" customFormat="false" ht="12.75" hidden="false" customHeight="false" outlineLevel="0" collapsed="false">
      <c r="A139" s="115" t="n">
        <f aca="false">EDATE(A138,1)</f>
        <v>41183</v>
      </c>
      <c r="B139" s="116" t="n">
        <f aca="false">'Inputs-Summary'!$B$7</f>
        <v>3017157.21662952</v>
      </c>
      <c r="C139" s="57"/>
      <c r="D139" s="117" t="n">
        <f aca="false">B139+C139</f>
        <v>3017157.21662952</v>
      </c>
      <c r="E139" s="106" t="n">
        <f aca="false">IF(Z139=0,0,IF(AND(Z139=1,$H$3=1),D139*U139,IF($H$3=2,D139,"N/A")))</f>
        <v>0</v>
      </c>
      <c r="F139" s="106" t="n">
        <f aca="false">E139*Y139</f>
        <v>0</v>
      </c>
      <c r="G139" s="118" t="n">
        <f aca="false">VLOOKUP($A139,Table,MATCH(G$4,Curves,0))</f>
        <v>3</v>
      </c>
      <c r="H139" s="119" t="n">
        <f aca="false">G139+$H$7</f>
        <v>3</v>
      </c>
      <c r="I139" s="118" t="n">
        <f aca="false">'Inputs-Summary'!$B$16</f>
        <v>1.85</v>
      </c>
      <c r="J139" s="118" t="n">
        <f aca="false">VLOOKUP($A139,Table,MATCH(J$4,Curves,0))</f>
        <v>5</v>
      </c>
      <c r="K139" s="119" t="n">
        <f aca="false">J139+$K$7</f>
        <v>5</v>
      </c>
      <c r="L139" s="120" t="n">
        <f aca="false">K139</f>
        <v>5</v>
      </c>
      <c r="M139" s="118" t="n">
        <f aca="false">VLOOKUP($A139,Table,MATCH(M$4,Curves,0))</f>
        <v>5</v>
      </c>
      <c r="N139" s="119" t="n">
        <f aca="false">M139+$N$7</f>
        <v>5</v>
      </c>
      <c r="O139" s="120" t="n">
        <f aca="false">N139</f>
        <v>5</v>
      </c>
      <c r="P139" s="109"/>
      <c r="Q139" s="120" t="n">
        <f aca="false">IF($F$3=1,M139+J139+G139,J139+G139)</f>
        <v>8</v>
      </c>
      <c r="R139" s="120" t="n">
        <f aca="false">IF($F$3=1,N139+K139+H139,K139+H139)</f>
        <v>8</v>
      </c>
      <c r="S139" s="120" t="n">
        <f aca="false">IF($F$3=1,O139+L139+I139,L139+I139)</f>
        <v>6.85</v>
      </c>
      <c r="T139" s="121"/>
      <c r="U139" s="67" t="n">
        <f aca="false">A140-A139</f>
        <v>31</v>
      </c>
      <c r="V139" s="122" t="n">
        <f aca="false">CHOOSE(F$3,A140+24,A139)</f>
        <v>41183</v>
      </c>
      <c r="W139" s="67" t="n">
        <f aca="false">V139-C$3</f>
        <v>-4743</v>
      </c>
      <c r="X139" s="118" t="n">
        <f aca="false">VLOOKUP($A139,Table,MATCH(X$4,Curves,0))</f>
        <v>2</v>
      </c>
      <c r="Y139" s="123" t="n">
        <f aca="false">1/(1+CHOOSE(F$3,(X140+($K$3/10000))/2,(X139+($K$3/10000))/2))^(2*W139/365.25)</f>
        <v>65784874.0521469</v>
      </c>
      <c r="Z139" s="67" t="n">
        <f aca="false">IF(AND(mthbeg&lt;=A139,mthend&gt;=A139),1,0)</f>
        <v>0</v>
      </c>
      <c r="AA139" s="67" t="n">
        <f aca="false">U139*Z139</f>
        <v>0</v>
      </c>
      <c r="AC139" s="110" t="n">
        <f aca="false">F139*(H139-I139)</f>
        <v>0</v>
      </c>
      <c r="AD139" s="49"/>
      <c r="AE139" s="124"/>
    </row>
    <row r="140" customFormat="false" ht="12.75" hidden="false" customHeight="false" outlineLevel="0" collapsed="false">
      <c r="A140" s="115" t="n">
        <f aca="false">EDATE(A139,1)</f>
        <v>41214</v>
      </c>
      <c r="B140" s="116" t="n">
        <f aca="false">'Inputs-Summary'!$B$7</f>
        <v>3017157.21662952</v>
      </c>
      <c r="C140" s="57"/>
      <c r="D140" s="117" t="n">
        <f aca="false">B140+C140</f>
        <v>3017157.21662952</v>
      </c>
      <c r="E140" s="106" t="n">
        <f aca="false">IF(Z140=0,0,IF(AND(Z140=1,$H$3=1),D140*U140,IF($H$3=2,D140,"N/A")))</f>
        <v>0</v>
      </c>
      <c r="F140" s="106" t="n">
        <f aca="false">E140*Y140</f>
        <v>0</v>
      </c>
      <c r="G140" s="118" t="n">
        <f aca="false">VLOOKUP($A140,Table,MATCH(G$4,Curves,0))</f>
        <v>3</v>
      </c>
      <c r="H140" s="119" t="n">
        <f aca="false">G140+$H$7</f>
        <v>3</v>
      </c>
      <c r="I140" s="118" t="n">
        <f aca="false">'Inputs-Summary'!$B$16</f>
        <v>1.85</v>
      </c>
      <c r="J140" s="118" t="n">
        <f aca="false">VLOOKUP($A140,Table,MATCH(J$4,Curves,0))</f>
        <v>5</v>
      </c>
      <c r="K140" s="119" t="n">
        <f aca="false">J140+$K$7</f>
        <v>5</v>
      </c>
      <c r="L140" s="120" t="n">
        <f aca="false">K140</f>
        <v>5</v>
      </c>
      <c r="M140" s="118" t="n">
        <f aca="false">VLOOKUP($A140,Table,MATCH(M$4,Curves,0))</f>
        <v>5</v>
      </c>
      <c r="N140" s="119" t="n">
        <f aca="false">M140+$N$7</f>
        <v>5</v>
      </c>
      <c r="O140" s="120" t="n">
        <f aca="false">N140</f>
        <v>5</v>
      </c>
      <c r="P140" s="109"/>
      <c r="Q140" s="120" t="n">
        <f aca="false">IF($F$3=1,M140+J140+G140,J140+G140)</f>
        <v>8</v>
      </c>
      <c r="R140" s="120" t="n">
        <f aca="false">IF($F$3=1,N140+K140+H140,K140+H140)</f>
        <v>8</v>
      </c>
      <c r="S140" s="120" t="n">
        <f aca="false">IF($F$3=1,O140+L140+I140,L140+I140)</f>
        <v>6.85</v>
      </c>
      <c r="T140" s="121"/>
      <c r="U140" s="67" t="n">
        <f aca="false">A141-A140</f>
        <v>30</v>
      </c>
      <c r="V140" s="122" t="n">
        <f aca="false">CHOOSE(F$3,A141+24,A140)</f>
        <v>41214</v>
      </c>
      <c r="W140" s="67" t="n">
        <f aca="false">V140-C$3</f>
        <v>-4712</v>
      </c>
      <c r="X140" s="118" t="n">
        <f aca="false">VLOOKUP($A140,Table,MATCH(X$4,Curves,0))</f>
        <v>2</v>
      </c>
      <c r="Y140" s="123" t="n">
        <f aca="false">1/(1+CHOOSE(F$3,(X141+($K$3/10000))/2,(X140+($K$3/10000))/2))^(2*W140/365.25)</f>
        <v>58482669.0001171</v>
      </c>
      <c r="Z140" s="67" t="n">
        <f aca="false">IF(AND(mthbeg&lt;=A140,mthend&gt;=A140),1,0)</f>
        <v>0</v>
      </c>
      <c r="AA140" s="67" t="n">
        <f aca="false">U140*Z140</f>
        <v>0</v>
      </c>
      <c r="AC140" s="110" t="n">
        <f aca="false">F140*(H140-I140)</f>
        <v>0</v>
      </c>
      <c r="AD140" s="49"/>
      <c r="AE140" s="124"/>
    </row>
    <row r="141" customFormat="false" ht="12.75" hidden="false" customHeight="false" outlineLevel="0" collapsed="false">
      <c r="A141" s="115" t="n">
        <f aca="false">EDATE(A140,1)</f>
        <v>41244</v>
      </c>
      <c r="B141" s="116" t="n">
        <f aca="false">'Inputs-Summary'!$B$7</f>
        <v>3017157.21662952</v>
      </c>
      <c r="C141" s="57"/>
      <c r="D141" s="117" t="n">
        <f aca="false">B141+C141</f>
        <v>3017157.21662952</v>
      </c>
      <c r="E141" s="106" t="n">
        <f aca="false">IF(Z141=0,0,IF(AND(Z141=1,$H$3=1),D141*U141,IF($H$3=2,D141,"N/A")))</f>
        <v>0</v>
      </c>
      <c r="F141" s="106" t="n">
        <f aca="false">E141*Y141</f>
        <v>0</v>
      </c>
      <c r="G141" s="118" t="n">
        <f aca="false">VLOOKUP($A141,Table,MATCH(G$4,Curves,0))</f>
        <v>3</v>
      </c>
      <c r="H141" s="119" t="n">
        <f aca="false">G141+$H$7</f>
        <v>3</v>
      </c>
      <c r="I141" s="118" t="n">
        <f aca="false">'Inputs-Summary'!$B$16</f>
        <v>1.85</v>
      </c>
      <c r="J141" s="118" t="n">
        <f aca="false">VLOOKUP($A141,Table,MATCH(J$4,Curves,0))</f>
        <v>5</v>
      </c>
      <c r="K141" s="119" t="n">
        <f aca="false">J141+$K$7</f>
        <v>5</v>
      </c>
      <c r="L141" s="120" t="n">
        <f aca="false">K141</f>
        <v>5</v>
      </c>
      <c r="M141" s="118" t="n">
        <f aca="false">VLOOKUP($A141,Table,MATCH(M$4,Curves,0))</f>
        <v>5</v>
      </c>
      <c r="N141" s="119" t="n">
        <f aca="false">M141+$N$7</f>
        <v>5</v>
      </c>
      <c r="O141" s="120" t="n">
        <f aca="false">N141</f>
        <v>5</v>
      </c>
      <c r="P141" s="109"/>
      <c r="Q141" s="120" t="n">
        <f aca="false">IF($F$3=1,M141+J141+G141,J141+G141)</f>
        <v>8</v>
      </c>
      <c r="R141" s="120" t="n">
        <f aca="false">IF($F$3=1,N141+K141+H141,K141+H141)</f>
        <v>8</v>
      </c>
      <c r="S141" s="120" t="n">
        <f aca="false">IF($F$3=1,O141+L141+I141,L141+I141)</f>
        <v>6.85</v>
      </c>
      <c r="T141" s="121"/>
      <c r="U141" s="67" t="n">
        <f aca="false">A142-A141</f>
        <v>31</v>
      </c>
      <c r="V141" s="122" t="n">
        <f aca="false">CHOOSE(F$3,A142+24,A141)</f>
        <v>41244</v>
      </c>
      <c r="W141" s="67" t="n">
        <f aca="false">V141-C$3</f>
        <v>-4682</v>
      </c>
      <c r="X141" s="118" t="n">
        <f aca="false">VLOOKUP($A141,Table,MATCH(X$4,Curves,0))</f>
        <v>2</v>
      </c>
      <c r="Y141" s="123" t="n">
        <f aca="false">1/(1+CHOOSE(F$3,(X142+($K$3/10000))/2,(X141+($K$3/10000))/2))^(2*W141/365.25)</f>
        <v>52188723.1897721</v>
      </c>
      <c r="Z141" s="67" t="n">
        <f aca="false">IF(AND(mthbeg&lt;=A141,mthend&gt;=A141),1,0)</f>
        <v>0</v>
      </c>
      <c r="AA141" s="67" t="n">
        <f aca="false">U141*Z141</f>
        <v>0</v>
      </c>
      <c r="AC141" s="110" t="n">
        <f aca="false">F141*(H141-I141)</f>
        <v>0</v>
      </c>
      <c r="AD141" s="49"/>
      <c r="AE141" s="124"/>
    </row>
    <row r="142" customFormat="false" ht="12.75" hidden="false" customHeight="false" outlineLevel="0" collapsed="false">
      <c r="A142" s="115" t="n">
        <f aca="false">EDATE(A141,1)</f>
        <v>41275</v>
      </c>
      <c r="B142" s="116" t="n">
        <f aca="false">'Inputs-Summary'!$B$7</f>
        <v>3017157.21662952</v>
      </c>
      <c r="C142" s="57"/>
      <c r="D142" s="117" t="n">
        <f aca="false">B142+C142</f>
        <v>3017157.21662952</v>
      </c>
      <c r="E142" s="106" t="n">
        <f aca="false">IF(Z142=0,0,IF(AND(Z142=1,$H$3=1),D142*U142,IF($H$3=2,D142,"N/A")))</f>
        <v>0</v>
      </c>
      <c r="F142" s="106" t="n">
        <f aca="false">E142*Y142</f>
        <v>0</v>
      </c>
      <c r="G142" s="118" t="n">
        <f aca="false">VLOOKUP($A142,Table,MATCH(G$4,Curves,0))</f>
        <v>3</v>
      </c>
      <c r="H142" s="119" t="n">
        <f aca="false">G142+$H$7</f>
        <v>3</v>
      </c>
      <c r="I142" s="118" t="n">
        <f aca="false">'Inputs-Summary'!$B$16</f>
        <v>1.85</v>
      </c>
      <c r="J142" s="118" t="n">
        <f aca="false">VLOOKUP($A142,Table,MATCH(J$4,Curves,0))</f>
        <v>5</v>
      </c>
      <c r="K142" s="119" t="n">
        <f aca="false">J142+$K$7</f>
        <v>5</v>
      </c>
      <c r="L142" s="120" t="n">
        <f aca="false">K142</f>
        <v>5</v>
      </c>
      <c r="M142" s="118" t="n">
        <f aca="false">VLOOKUP($A142,Table,MATCH(M$4,Curves,0))</f>
        <v>5</v>
      </c>
      <c r="N142" s="119" t="n">
        <f aca="false">M142+$N$7</f>
        <v>5</v>
      </c>
      <c r="O142" s="120" t="n">
        <f aca="false">N142</f>
        <v>5</v>
      </c>
      <c r="P142" s="109"/>
      <c r="Q142" s="120" t="n">
        <f aca="false">IF($F$3=1,M142+J142+G142,J142+G142)</f>
        <v>8</v>
      </c>
      <c r="R142" s="120" t="n">
        <f aca="false">IF($F$3=1,N142+K142+H142,K142+H142)</f>
        <v>8</v>
      </c>
      <c r="S142" s="120" t="n">
        <f aca="false">IF($F$3=1,O142+L142+I142,L142+I142)</f>
        <v>6.85</v>
      </c>
      <c r="T142" s="121"/>
      <c r="U142" s="67" t="n">
        <f aca="false">A143-A142</f>
        <v>31</v>
      </c>
      <c r="V142" s="122" t="n">
        <f aca="false">CHOOSE(F$3,A143+24,A142)</f>
        <v>41275</v>
      </c>
      <c r="W142" s="67" t="n">
        <f aca="false">V142-C$3</f>
        <v>-4651</v>
      </c>
      <c r="X142" s="118" t="n">
        <f aca="false">VLOOKUP($A142,Table,MATCH(X$4,Curves,0))</f>
        <v>2</v>
      </c>
      <c r="Y142" s="123" t="n">
        <f aca="false">1/(1+CHOOSE(F$3,(X143+($K$3/10000))/2,(X142+($K$3/10000))/2))^(2*W142/365.25)</f>
        <v>46395708.2509086</v>
      </c>
      <c r="Z142" s="67" t="n">
        <f aca="false">IF(AND(mthbeg&lt;=A142,mthend&gt;=A142),1,0)</f>
        <v>0</v>
      </c>
      <c r="AA142" s="67" t="n">
        <f aca="false">U142*Z142</f>
        <v>0</v>
      </c>
      <c r="AC142" s="110" t="n">
        <f aca="false">F142*(H142-I142)</f>
        <v>0</v>
      </c>
      <c r="AD142" s="49"/>
      <c r="AE142" s="124"/>
    </row>
    <row r="143" customFormat="false" ht="12.75" hidden="false" customHeight="false" outlineLevel="0" collapsed="false">
      <c r="A143" s="115" t="n">
        <f aca="false">EDATE(A142,1)</f>
        <v>41306</v>
      </c>
      <c r="B143" s="116" t="n">
        <f aca="false">'Inputs-Summary'!$B$7</f>
        <v>3017157.21662952</v>
      </c>
      <c r="C143" s="57"/>
      <c r="D143" s="117" t="n">
        <f aca="false">B143+C143</f>
        <v>3017157.21662952</v>
      </c>
      <c r="E143" s="106" t="n">
        <f aca="false">IF(Z143=0,0,IF(AND(Z143=1,$H$3=1),D143*U143,IF($H$3=2,D143,"N/A")))</f>
        <v>0</v>
      </c>
      <c r="F143" s="106" t="n">
        <f aca="false">E143*Y143</f>
        <v>0</v>
      </c>
      <c r="G143" s="118" t="n">
        <f aca="false">VLOOKUP($A143,Table,MATCH(G$4,Curves,0))</f>
        <v>3</v>
      </c>
      <c r="H143" s="119" t="n">
        <f aca="false">G143+$H$7</f>
        <v>3</v>
      </c>
      <c r="I143" s="118" t="n">
        <f aca="false">'Inputs-Summary'!$B$16</f>
        <v>1.85</v>
      </c>
      <c r="J143" s="118" t="n">
        <f aca="false">VLOOKUP($A143,Table,MATCH(J$4,Curves,0))</f>
        <v>5</v>
      </c>
      <c r="K143" s="119" t="n">
        <f aca="false">J143+$K$7</f>
        <v>5</v>
      </c>
      <c r="L143" s="120" t="n">
        <f aca="false">K143</f>
        <v>5</v>
      </c>
      <c r="M143" s="118" t="n">
        <f aca="false">VLOOKUP($A143,Table,MATCH(M$4,Curves,0))</f>
        <v>5</v>
      </c>
      <c r="N143" s="119" t="n">
        <f aca="false">M143+$N$7</f>
        <v>5</v>
      </c>
      <c r="O143" s="120" t="n">
        <f aca="false">N143</f>
        <v>5</v>
      </c>
      <c r="P143" s="109"/>
      <c r="Q143" s="120" t="n">
        <f aca="false">IF($F$3=1,M143+J143+G143,J143+G143)</f>
        <v>8</v>
      </c>
      <c r="R143" s="120" t="n">
        <f aca="false">IF($F$3=1,N143+K143+H143,K143+H143)</f>
        <v>8</v>
      </c>
      <c r="S143" s="120" t="n">
        <f aca="false">IF($F$3=1,O143+L143+I143,L143+I143)</f>
        <v>6.85</v>
      </c>
      <c r="T143" s="121"/>
      <c r="U143" s="67" t="n">
        <f aca="false">A144-A143</f>
        <v>28</v>
      </c>
      <c r="V143" s="122" t="n">
        <f aca="false">CHOOSE(F$3,A144+24,A143)</f>
        <v>41306</v>
      </c>
      <c r="W143" s="67" t="n">
        <f aca="false">V143-C$3</f>
        <v>-4620</v>
      </c>
      <c r="X143" s="118" t="n">
        <f aca="false">VLOOKUP($A143,Table,MATCH(X$4,Curves,0))</f>
        <v>2</v>
      </c>
      <c r="Y143" s="123" t="n">
        <f aca="false">1/(1+CHOOSE(F$3,(X144+($K$3/10000))/2,(X143+($K$3/10000))/2))^(2*W143/365.25)</f>
        <v>41245725.3701369</v>
      </c>
      <c r="Z143" s="67" t="n">
        <f aca="false">IF(AND(mthbeg&lt;=A143,mthend&gt;=A143),1,0)</f>
        <v>0</v>
      </c>
      <c r="AA143" s="67" t="n">
        <f aca="false">U143*Z143</f>
        <v>0</v>
      </c>
      <c r="AC143" s="110" t="n">
        <f aca="false">F143*(H143-I143)</f>
        <v>0</v>
      </c>
      <c r="AD143" s="49"/>
      <c r="AE143" s="124"/>
    </row>
    <row r="144" customFormat="false" ht="12.75" hidden="false" customHeight="false" outlineLevel="0" collapsed="false">
      <c r="A144" s="115" t="n">
        <f aca="false">EDATE(A143,1)</f>
        <v>41334</v>
      </c>
      <c r="B144" s="116" t="n">
        <f aca="false">'Inputs-Summary'!$B$7</f>
        <v>3017157.21662952</v>
      </c>
      <c r="C144" s="57"/>
      <c r="D144" s="117" t="n">
        <f aca="false">B144+C144</f>
        <v>3017157.21662952</v>
      </c>
      <c r="E144" s="106" t="n">
        <f aca="false">IF(Z144=0,0,IF(AND(Z144=1,$H$3=1),D144*U144,IF($H$3=2,D144,"N/A")))</f>
        <v>0</v>
      </c>
      <c r="F144" s="106" t="n">
        <f aca="false">E144*Y144</f>
        <v>0</v>
      </c>
      <c r="G144" s="118" t="n">
        <f aca="false">VLOOKUP($A144,Table,MATCH(G$4,Curves,0))</f>
        <v>3</v>
      </c>
      <c r="H144" s="119" t="n">
        <f aca="false">G144+$H$7</f>
        <v>3</v>
      </c>
      <c r="I144" s="118" t="n">
        <f aca="false">'Inputs-Summary'!$B$16</f>
        <v>1.85</v>
      </c>
      <c r="J144" s="118" t="n">
        <f aca="false">VLOOKUP($A144,Table,MATCH(J$4,Curves,0))</f>
        <v>5</v>
      </c>
      <c r="K144" s="119" t="n">
        <f aca="false">J144+$K$7</f>
        <v>5</v>
      </c>
      <c r="L144" s="120" t="n">
        <f aca="false">K144</f>
        <v>5</v>
      </c>
      <c r="M144" s="118" t="n">
        <f aca="false">VLOOKUP($A144,Table,MATCH(M$4,Curves,0))</f>
        <v>5</v>
      </c>
      <c r="N144" s="119" t="n">
        <f aca="false">M144+$N$7</f>
        <v>5</v>
      </c>
      <c r="O144" s="120" t="n">
        <f aca="false">N144</f>
        <v>5</v>
      </c>
      <c r="P144" s="109"/>
      <c r="Q144" s="120" t="n">
        <f aca="false">IF($F$3=1,M144+J144+G144,J144+G144)</f>
        <v>8</v>
      </c>
      <c r="R144" s="120" t="n">
        <f aca="false">IF($F$3=1,N144+K144+H144,K144+H144)</f>
        <v>8</v>
      </c>
      <c r="S144" s="120" t="n">
        <f aca="false">IF($F$3=1,O144+L144+I144,L144+I144)</f>
        <v>6.85</v>
      </c>
      <c r="T144" s="121"/>
      <c r="U144" s="67" t="n">
        <f aca="false">A145-A144</f>
        <v>31</v>
      </c>
      <c r="V144" s="122" t="n">
        <f aca="false">CHOOSE(F$3,A145+24,A144)</f>
        <v>41334</v>
      </c>
      <c r="W144" s="67" t="n">
        <f aca="false">V144-C$3</f>
        <v>-4592</v>
      </c>
      <c r="X144" s="118" t="n">
        <f aca="false">VLOOKUP($A144,Table,MATCH(X$4,Curves,0))</f>
        <v>2</v>
      </c>
      <c r="Y144" s="123" t="n">
        <f aca="false">1/(1+CHOOSE(F$3,(X145+($K$3/10000))/2,(X144+($K$3/10000))/2))^(2*W144/365.25)</f>
        <v>37087292.8811825</v>
      </c>
      <c r="Z144" s="67" t="n">
        <f aca="false">IF(AND(mthbeg&lt;=A144,mthend&gt;=A144),1,0)</f>
        <v>0</v>
      </c>
      <c r="AA144" s="67" t="n">
        <f aca="false">U144*Z144</f>
        <v>0</v>
      </c>
      <c r="AC144" s="110" t="n">
        <f aca="false">F144*(H144-I144)</f>
        <v>0</v>
      </c>
      <c r="AD144" s="49"/>
      <c r="AE144" s="124"/>
    </row>
    <row r="145" customFormat="false" ht="12.75" hidden="false" customHeight="false" outlineLevel="0" collapsed="false">
      <c r="A145" s="115" t="n">
        <f aca="false">EDATE(A144,1)</f>
        <v>41365</v>
      </c>
      <c r="B145" s="116" t="n">
        <f aca="false">'Inputs-Summary'!$B$7</f>
        <v>3017157.21662952</v>
      </c>
      <c r="C145" s="57"/>
      <c r="D145" s="117" t="n">
        <f aca="false">B145+C145</f>
        <v>3017157.21662952</v>
      </c>
      <c r="E145" s="106" t="n">
        <f aca="false">IF(Z145=0,0,IF(AND(Z145=1,$H$3=1),D145*U145,IF($H$3=2,D145,"N/A")))</f>
        <v>0</v>
      </c>
      <c r="F145" s="106" t="n">
        <f aca="false">E145*Y145</f>
        <v>0</v>
      </c>
      <c r="G145" s="118" t="n">
        <f aca="false">VLOOKUP($A145,Table,MATCH(G$4,Curves,0))</f>
        <v>3</v>
      </c>
      <c r="H145" s="119" t="n">
        <f aca="false">G145+$H$7</f>
        <v>3</v>
      </c>
      <c r="I145" s="118" t="n">
        <f aca="false">'Inputs-Summary'!$B$16</f>
        <v>1.85</v>
      </c>
      <c r="J145" s="118" t="n">
        <f aca="false">VLOOKUP($A145,Table,MATCH(J$4,Curves,0))</f>
        <v>5</v>
      </c>
      <c r="K145" s="119" t="n">
        <f aca="false">J145+$K$7</f>
        <v>5</v>
      </c>
      <c r="L145" s="120" t="n">
        <f aca="false">K145</f>
        <v>5</v>
      </c>
      <c r="M145" s="118" t="n">
        <f aca="false">VLOOKUP($A145,Table,MATCH(M$4,Curves,0))</f>
        <v>5</v>
      </c>
      <c r="N145" s="119" t="n">
        <f aca="false">M145+$N$7</f>
        <v>5</v>
      </c>
      <c r="O145" s="120" t="n">
        <f aca="false">N145</f>
        <v>5</v>
      </c>
      <c r="P145" s="109"/>
      <c r="Q145" s="120" t="n">
        <f aca="false">IF($F$3=1,M145+J145+G145,J145+G145)</f>
        <v>8</v>
      </c>
      <c r="R145" s="120" t="n">
        <f aca="false">IF($F$3=1,N145+K145+H145,K145+H145)</f>
        <v>8</v>
      </c>
      <c r="S145" s="120" t="n">
        <f aca="false">IF($F$3=1,O145+L145+I145,L145+I145)</f>
        <v>6.85</v>
      </c>
      <c r="T145" s="121"/>
      <c r="U145" s="67" t="n">
        <f aca="false">A146-A145</f>
        <v>30</v>
      </c>
      <c r="V145" s="122" t="n">
        <f aca="false">CHOOSE(F$3,A146+24,A145)</f>
        <v>41365</v>
      </c>
      <c r="W145" s="67" t="n">
        <f aca="false">V145-C$3</f>
        <v>-4561</v>
      </c>
      <c r="X145" s="118" t="n">
        <f aca="false">VLOOKUP($A145,Table,MATCH(X$4,Curves,0))</f>
        <v>2</v>
      </c>
      <c r="Y145" s="123" t="n">
        <f aca="false">1/(1+CHOOSE(F$3,(X146+($K$3/10000))/2,(X145+($K$3/10000))/2))^(2*W145/365.25)</f>
        <v>32970555.9968281</v>
      </c>
      <c r="Z145" s="67" t="n">
        <f aca="false">IF(AND(mthbeg&lt;=A145,mthend&gt;=A145),1,0)</f>
        <v>0</v>
      </c>
      <c r="AA145" s="67" t="n">
        <f aca="false">U145*Z145</f>
        <v>0</v>
      </c>
      <c r="AC145" s="110" t="n">
        <f aca="false">F145*(H145-I145)</f>
        <v>0</v>
      </c>
      <c r="AD145" s="49"/>
      <c r="AE145" s="124"/>
    </row>
    <row r="146" customFormat="false" ht="12.75" hidden="false" customHeight="false" outlineLevel="0" collapsed="false">
      <c r="A146" s="115" t="n">
        <f aca="false">EDATE(A145,1)</f>
        <v>41395</v>
      </c>
      <c r="B146" s="116" t="n">
        <f aca="false">'Inputs-Summary'!$B$7</f>
        <v>3017157.21662952</v>
      </c>
      <c r="C146" s="57"/>
      <c r="D146" s="117" t="n">
        <f aca="false">B146+C146</f>
        <v>3017157.21662952</v>
      </c>
      <c r="E146" s="106" t="n">
        <f aca="false">IF(Z146=0,0,IF(AND(Z146=1,$H$3=1),D146*U146,IF($H$3=2,D146,"N/A")))</f>
        <v>0</v>
      </c>
      <c r="F146" s="106" t="n">
        <f aca="false">E146*Y146</f>
        <v>0</v>
      </c>
      <c r="G146" s="118" t="n">
        <f aca="false">VLOOKUP($A146,Table,MATCH(G$4,Curves,0))</f>
        <v>3</v>
      </c>
      <c r="H146" s="119" t="n">
        <f aca="false">G146+$H$7</f>
        <v>3</v>
      </c>
      <c r="I146" s="118" t="n">
        <f aca="false">'Inputs-Summary'!$B$16</f>
        <v>1.85</v>
      </c>
      <c r="J146" s="118" t="n">
        <f aca="false">VLOOKUP($A146,Table,MATCH(J$4,Curves,0))</f>
        <v>5</v>
      </c>
      <c r="K146" s="119" t="n">
        <f aca="false">J146+$K$7</f>
        <v>5</v>
      </c>
      <c r="L146" s="120" t="n">
        <f aca="false">K146</f>
        <v>5</v>
      </c>
      <c r="M146" s="118" t="n">
        <f aca="false">VLOOKUP($A146,Table,MATCH(M$4,Curves,0))</f>
        <v>5</v>
      </c>
      <c r="N146" s="119" t="n">
        <f aca="false">M146+$N$7</f>
        <v>5</v>
      </c>
      <c r="O146" s="120" t="n">
        <f aca="false">N146</f>
        <v>5</v>
      </c>
      <c r="P146" s="109"/>
      <c r="Q146" s="120" t="n">
        <f aca="false">IF($F$3=1,M146+J146+G146,J146+G146)</f>
        <v>8</v>
      </c>
      <c r="R146" s="120" t="n">
        <f aca="false">IF($F$3=1,N146+K146+H146,K146+H146)</f>
        <v>8</v>
      </c>
      <c r="S146" s="120" t="n">
        <f aca="false">IF($F$3=1,O146+L146+I146,L146+I146)</f>
        <v>6.85</v>
      </c>
      <c r="T146" s="121"/>
      <c r="U146" s="67" t="n">
        <f aca="false">A147-A146</f>
        <v>31</v>
      </c>
      <c r="V146" s="122" t="n">
        <f aca="false">CHOOSE(F$3,A147+24,A146)</f>
        <v>41395</v>
      </c>
      <c r="W146" s="67" t="n">
        <f aca="false">V146-C$3</f>
        <v>-4531</v>
      </c>
      <c r="X146" s="118" t="n">
        <f aca="false">VLOOKUP($A146,Table,MATCH(X$4,Curves,0))</f>
        <v>2</v>
      </c>
      <c r="Y146" s="123" t="n">
        <f aca="false">1/(1+CHOOSE(F$3,(X147+($K$3/10000))/2,(X146+($K$3/10000))/2))^(2*W146/365.25)</f>
        <v>29422241.6615066</v>
      </c>
      <c r="Z146" s="67" t="n">
        <f aca="false">IF(AND(mthbeg&lt;=A146,mthend&gt;=A146),1,0)</f>
        <v>0</v>
      </c>
      <c r="AA146" s="67" t="n">
        <f aca="false">U146*Z146</f>
        <v>0</v>
      </c>
      <c r="AC146" s="110" t="n">
        <f aca="false">F146*(H146-I146)</f>
        <v>0</v>
      </c>
      <c r="AD146" s="49"/>
      <c r="AE146" s="124"/>
    </row>
    <row r="147" customFormat="false" ht="12.75" hidden="false" customHeight="false" outlineLevel="0" collapsed="false">
      <c r="A147" s="115" t="n">
        <f aca="false">EDATE(A146,1)</f>
        <v>41426</v>
      </c>
      <c r="B147" s="116" t="n">
        <f aca="false">'Inputs-Summary'!$B$7</f>
        <v>3017157.21662952</v>
      </c>
      <c r="C147" s="57"/>
      <c r="D147" s="117" t="n">
        <f aca="false">B147+C147</f>
        <v>3017157.21662952</v>
      </c>
      <c r="E147" s="106" t="n">
        <f aca="false">IF(Z147=0,0,IF(AND(Z147=1,$H$3=1),D147*U147,IF($H$3=2,D147,"N/A")))</f>
        <v>0</v>
      </c>
      <c r="F147" s="106" t="n">
        <f aca="false">E147*Y147</f>
        <v>0</v>
      </c>
      <c r="G147" s="118" t="n">
        <f aca="false">VLOOKUP($A147,Table,MATCH(G$4,Curves,0))</f>
        <v>3</v>
      </c>
      <c r="H147" s="119" t="n">
        <f aca="false">G147+$H$7</f>
        <v>3</v>
      </c>
      <c r="I147" s="118" t="n">
        <f aca="false">'Inputs-Summary'!$B$16</f>
        <v>1.85</v>
      </c>
      <c r="J147" s="118" t="n">
        <f aca="false">VLOOKUP($A147,Table,MATCH(J$4,Curves,0))</f>
        <v>5</v>
      </c>
      <c r="K147" s="119" t="n">
        <f aca="false">J147+$K$7</f>
        <v>5</v>
      </c>
      <c r="L147" s="120" t="n">
        <f aca="false">K147</f>
        <v>5</v>
      </c>
      <c r="M147" s="118" t="n">
        <f aca="false">VLOOKUP($A147,Table,MATCH(M$4,Curves,0))</f>
        <v>5</v>
      </c>
      <c r="N147" s="119" t="n">
        <f aca="false">M147+$N$7</f>
        <v>5</v>
      </c>
      <c r="O147" s="120" t="n">
        <f aca="false">N147</f>
        <v>5</v>
      </c>
      <c r="P147" s="109"/>
      <c r="Q147" s="120" t="n">
        <f aca="false">IF($F$3=1,M147+J147+G147,J147+G147)</f>
        <v>8</v>
      </c>
      <c r="R147" s="120" t="n">
        <f aca="false">IF($F$3=1,N147+K147+H147,K147+H147)</f>
        <v>8</v>
      </c>
      <c r="S147" s="120" t="n">
        <f aca="false">IF($F$3=1,O147+L147+I147,L147+I147)</f>
        <v>6.85</v>
      </c>
      <c r="T147" s="121"/>
      <c r="U147" s="67" t="n">
        <f aca="false">A148-A147</f>
        <v>30</v>
      </c>
      <c r="V147" s="122" t="n">
        <f aca="false">CHOOSE(F$3,A148+24,A147)</f>
        <v>41426</v>
      </c>
      <c r="W147" s="67" t="n">
        <f aca="false">V147-C$3</f>
        <v>-4500</v>
      </c>
      <c r="X147" s="118" t="n">
        <f aca="false">VLOOKUP($A147,Table,MATCH(X$4,Curves,0))</f>
        <v>2</v>
      </c>
      <c r="Y147" s="123" t="n">
        <f aca="false">1/(1+CHOOSE(F$3,(X148+($K$3/10000))/2,(X147+($K$3/10000))/2))^(2*W147/365.25)</f>
        <v>26156335.2537146</v>
      </c>
      <c r="Z147" s="67" t="n">
        <f aca="false">IF(AND(mthbeg&lt;=A147,mthend&gt;=A147),1,0)</f>
        <v>0</v>
      </c>
      <c r="AA147" s="67" t="n">
        <f aca="false">U147*Z147</f>
        <v>0</v>
      </c>
      <c r="AC147" s="110" t="n">
        <f aca="false">F147*(H147-I147)</f>
        <v>0</v>
      </c>
      <c r="AD147" s="49"/>
      <c r="AE147" s="124"/>
    </row>
    <row r="148" customFormat="false" ht="12.75" hidden="false" customHeight="false" outlineLevel="0" collapsed="false">
      <c r="A148" s="115" t="n">
        <f aca="false">EDATE(A147,1)</f>
        <v>41456</v>
      </c>
      <c r="B148" s="116" t="n">
        <f aca="false">'Inputs-Summary'!$B$7</f>
        <v>3017157.21662952</v>
      </c>
      <c r="C148" s="57"/>
      <c r="D148" s="117" t="n">
        <f aca="false">B148+C148</f>
        <v>3017157.21662952</v>
      </c>
      <c r="E148" s="106" t="n">
        <f aca="false">IF(Z148=0,0,IF(AND(Z148=1,$H$3=1),D148*U148,IF($H$3=2,D148,"N/A")))</f>
        <v>0</v>
      </c>
      <c r="F148" s="106" t="n">
        <f aca="false">E148*Y148</f>
        <v>0</v>
      </c>
      <c r="G148" s="118" t="n">
        <f aca="false">VLOOKUP($A148,Table,MATCH(G$4,Curves,0))</f>
        <v>3</v>
      </c>
      <c r="H148" s="119" t="n">
        <f aca="false">G148+$H$7</f>
        <v>3</v>
      </c>
      <c r="I148" s="118" t="n">
        <f aca="false">'Inputs-Summary'!$B$16</f>
        <v>1.85</v>
      </c>
      <c r="J148" s="118" t="n">
        <f aca="false">VLOOKUP($A148,Table,MATCH(J$4,Curves,0))</f>
        <v>5</v>
      </c>
      <c r="K148" s="119" t="n">
        <f aca="false">J148+$K$7</f>
        <v>5</v>
      </c>
      <c r="L148" s="120" t="n">
        <f aca="false">K148</f>
        <v>5</v>
      </c>
      <c r="M148" s="118" t="n">
        <f aca="false">VLOOKUP($A148,Table,MATCH(M$4,Curves,0))</f>
        <v>5</v>
      </c>
      <c r="N148" s="119" t="n">
        <f aca="false">M148+$N$7</f>
        <v>5</v>
      </c>
      <c r="O148" s="120" t="n">
        <f aca="false">N148</f>
        <v>5</v>
      </c>
      <c r="P148" s="109"/>
      <c r="Q148" s="120" t="n">
        <f aca="false">IF($F$3=1,M148+J148+G148,J148+G148)</f>
        <v>8</v>
      </c>
      <c r="R148" s="120" t="n">
        <f aca="false">IF($F$3=1,N148+K148+H148,K148+H148)</f>
        <v>8</v>
      </c>
      <c r="S148" s="120" t="n">
        <f aca="false">IF($F$3=1,O148+L148+I148,L148+I148)</f>
        <v>6.85</v>
      </c>
      <c r="T148" s="121"/>
      <c r="U148" s="67" t="n">
        <f aca="false">A149-A148</f>
        <v>31</v>
      </c>
      <c r="V148" s="122" t="n">
        <f aca="false">CHOOSE(F$3,A149+24,A148)</f>
        <v>41456</v>
      </c>
      <c r="W148" s="67" t="n">
        <f aca="false">V148-C$3</f>
        <v>-4470</v>
      </c>
      <c r="X148" s="118" t="n">
        <f aca="false">VLOOKUP($A148,Table,MATCH(X$4,Curves,0))</f>
        <v>2</v>
      </c>
      <c r="Y148" s="123" t="n">
        <f aca="false">1/(1+CHOOSE(F$3,(X149+($K$3/10000))/2,(X148+($K$3/10000))/2))^(2*W148/365.25)</f>
        <v>23341372.1287627</v>
      </c>
      <c r="Z148" s="67" t="n">
        <f aca="false">IF(AND(mthbeg&lt;=A148,mthend&gt;=A148),1,0)</f>
        <v>0</v>
      </c>
      <c r="AA148" s="67" t="n">
        <f aca="false">U148*Z148</f>
        <v>0</v>
      </c>
      <c r="AC148" s="110" t="n">
        <f aca="false">F148*(H148-I148)</f>
        <v>0</v>
      </c>
      <c r="AD148" s="49"/>
      <c r="AE148" s="124"/>
    </row>
    <row r="149" customFormat="false" ht="12.75" hidden="false" customHeight="false" outlineLevel="0" collapsed="false">
      <c r="A149" s="115" t="n">
        <f aca="false">EDATE(A148,1)</f>
        <v>41487</v>
      </c>
      <c r="B149" s="116" t="n">
        <f aca="false">'Inputs-Summary'!$B$7</f>
        <v>3017157.21662952</v>
      </c>
      <c r="C149" s="57"/>
      <c r="D149" s="117" t="n">
        <f aca="false">B149+C149</f>
        <v>3017157.21662952</v>
      </c>
      <c r="E149" s="106" t="n">
        <f aca="false">IF(Z149=0,0,IF(AND(Z149=1,$H$3=1),D149*U149,IF($H$3=2,D149,"N/A")))</f>
        <v>0</v>
      </c>
      <c r="F149" s="106" t="n">
        <f aca="false">E149*Y149</f>
        <v>0</v>
      </c>
      <c r="G149" s="118" t="n">
        <f aca="false">VLOOKUP($A149,Table,MATCH(G$4,Curves,0))</f>
        <v>3</v>
      </c>
      <c r="H149" s="119" t="n">
        <f aca="false">G149+$H$7</f>
        <v>3</v>
      </c>
      <c r="I149" s="118" t="n">
        <f aca="false">'Inputs-Summary'!$B$16</f>
        <v>1.85</v>
      </c>
      <c r="J149" s="118" t="n">
        <f aca="false">VLOOKUP($A149,Table,MATCH(J$4,Curves,0))</f>
        <v>5</v>
      </c>
      <c r="K149" s="119" t="n">
        <f aca="false">J149+$K$7</f>
        <v>5</v>
      </c>
      <c r="L149" s="120" t="n">
        <f aca="false">K149</f>
        <v>5</v>
      </c>
      <c r="M149" s="118" t="n">
        <f aca="false">VLOOKUP($A149,Table,MATCH(M$4,Curves,0))</f>
        <v>5</v>
      </c>
      <c r="N149" s="119" t="n">
        <f aca="false">M149+$N$7</f>
        <v>5</v>
      </c>
      <c r="O149" s="120" t="n">
        <f aca="false">N149</f>
        <v>5</v>
      </c>
      <c r="P149" s="109"/>
      <c r="Q149" s="120" t="n">
        <f aca="false">IF($F$3=1,M149+J149+G149,J149+G149)</f>
        <v>8</v>
      </c>
      <c r="R149" s="120" t="n">
        <f aca="false">IF($F$3=1,N149+K149+H149,K149+H149)</f>
        <v>8</v>
      </c>
      <c r="S149" s="120" t="n">
        <f aca="false">IF($F$3=1,O149+L149+I149,L149+I149)</f>
        <v>6.85</v>
      </c>
      <c r="T149" s="121"/>
      <c r="U149" s="67" t="n">
        <f aca="false">A150-A149</f>
        <v>31</v>
      </c>
      <c r="V149" s="122" t="n">
        <f aca="false">CHOOSE(F$3,A150+24,A149)</f>
        <v>41487</v>
      </c>
      <c r="W149" s="67" t="n">
        <f aca="false">V149-C$3</f>
        <v>-4439</v>
      </c>
      <c r="X149" s="118" t="n">
        <f aca="false">VLOOKUP($A149,Table,MATCH(X$4,Curves,0))</f>
        <v>2</v>
      </c>
      <c r="Y149" s="123" t="n">
        <f aca="false">1/(1+CHOOSE(F$3,(X150+($K$3/10000))/2,(X149+($K$3/10000))/2))^(2*W149/365.25)</f>
        <v>20750450.0066827</v>
      </c>
      <c r="Z149" s="67" t="n">
        <f aca="false">IF(AND(mthbeg&lt;=A149,mthend&gt;=A149),1,0)</f>
        <v>0</v>
      </c>
      <c r="AA149" s="67" t="n">
        <f aca="false">U149*Z149</f>
        <v>0</v>
      </c>
      <c r="AC149" s="110" t="n">
        <f aca="false">F149*(H149-I149)</f>
        <v>0</v>
      </c>
      <c r="AD149" s="49"/>
      <c r="AE149" s="124"/>
    </row>
    <row r="150" customFormat="false" ht="12.75" hidden="false" customHeight="false" outlineLevel="0" collapsed="false">
      <c r="A150" s="115" t="n">
        <f aca="false">EDATE(A149,1)</f>
        <v>41518</v>
      </c>
      <c r="B150" s="116" t="n">
        <f aca="false">'Inputs-Summary'!$B$7</f>
        <v>3017157.21662952</v>
      </c>
      <c r="C150" s="57"/>
      <c r="D150" s="117" t="n">
        <f aca="false">B150+C150</f>
        <v>3017157.21662952</v>
      </c>
      <c r="E150" s="106" t="n">
        <f aca="false">IF(Z150=0,0,IF(AND(Z150=1,$H$3=1),D150*U150,IF($H$3=2,D150,"N/A")))</f>
        <v>0</v>
      </c>
      <c r="F150" s="106" t="n">
        <f aca="false">E150*Y150</f>
        <v>0</v>
      </c>
      <c r="G150" s="118" t="n">
        <f aca="false">VLOOKUP($A150,Table,MATCH(G$4,Curves,0))</f>
        <v>3</v>
      </c>
      <c r="H150" s="119" t="n">
        <f aca="false">G150+$H$7</f>
        <v>3</v>
      </c>
      <c r="I150" s="118" t="n">
        <f aca="false">'Inputs-Summary'!$B$16</f>
        <v>1.85</v>
      </c>
      <c r="J150" s="118" t="n">
        <f aca="false">VLOOKUP($A150,Table,MATCH(J$4,Curves,0))</f>
        <v>5</v>
      </c>
      <c r="K150" s="119" t="n">
        <f aca="false">J150+$K$7</f>
        <v>5</v>
      </c>
      <c r="L150" s="120" t="n">
        <f aca="false">K150</f>
        <v>5</v>
      </c>
      <c r="M150" s="118" t="n">
        <f aca="false">VLOOKUP($A150,Table,MATCH(M$4,Curves,0))</f>
        <v>5</v>
      </c>
      <c r="N150" s="119" t="n">
        <f aca="false">M150+$N$7</f>
        <v>5</v>
      </c>
      <c r="O150" s="120" t="n">
        <f aca="false">N150</f>
        <v>5</v>
      </c>
      <c r="P150" s="109"/>
      <c r="Q150" s="120" t="n">
        <f aca="false">IF($F$3=1,M150+J150+G150,J150+G150)</f>
        <v>8</v>
      </c>
      <c r="R150" s="120" t="n">
        <f aca="false">IF($F$3=1,N150+K150+H150,K150+H150)</f>
        <v>8</v>
      </c>
      <c r="S150" s="120" t="n">
        <f aca="false">IF($F$3=1,O150+L150+I150,L150+I150)</f>
        <v>6.85</v>
      </c>
      <c r="T150" s="121"/>
      <c r="U150" s="67" t="n">
        <f aca="false">A151-A150</f>
        <v>30</v>
      </c>
      <c r="V150" s="122" t="n">
        <f aca="false">CHOOSE(F$3,A151+24,A150)</f>
        <v>41518</v>
      </c>
      <c r="W150" s="67" t="n">
        <f aca="false">V150-C$3</f>
        <v>-4408</v>
      </c>
      <c r="X150" s="118" t="n">
        <f aca="false">VLOOKUP($A150,Table,MATCH(X$4,Curves,0))</f>
        <v>2</v>
      </c>
      <c r="Y150" s="123" t="n">
        <f aca="false">1/(1+CHOOSE(F$3,(X151+($K$3/10000))/2,(X150+($K$3/10000))/2))^(2*W150/365.25)</f>
        <v>18447123.549744</v>
      </c>
      <c r="Z150" s="67" t="n">
        <f aca="false">IF(AND(mthbeg&lt;=A150,mthend&gt;=A150),1,0)</f>
        <v>0</v>
      </c>
      <c r="AA150" s="67" t="n">
        <f aca="false">U150*Z150</f>
        <v>0</v>
      </c>
      <c r="AC150" s="110" t="n">
        <f aca="false">F150*(H150-I150)</f>
        <v>0</v>
      </c>
      <c r="AD150" s="49"/>
      <c r="AE150" s="124"/>
    </row>
    <row r="151" customFormat="false" ht="12.75" hidden="false" customHeight="false" outlineLevel="0" collapsed="false">
      <c r="A151" s="115" t="n">
        <f aca="false">EDATE(A150,1)</f>
        <v>41548</v>
      </c>
      <c r="B151" s="116" t="n">
        <f aca="false">'Inputs-Summary'!$B$7</f>
        <v>3017157.21662952</v>
      </c>
      <c r="C151" s="57"/>
      <c r="D151" s="117" t="n">
        <f aca="false">B151+C151</f>
        <v>3017157.21662952</v>
      </c>
      <c r="E151" s="106" t="n">
        <f aca="false">IF(Z151=0,0,IF(AND(Z151=1,$H$3=1),D151*U151,IF($H$3=2,D151,"N/A")))</f>
        <v>0</v>
      </c>
      <c r="F151" s="106" t="n">
        <f aca="false">E151*Y151</f>
        <v>0</v>
      </c>
      <c r="G151" s="118" t="n">
        <f aca="false">VLOOKUP($A151,Table,MATCH(G$4,Curves,0))</f>
        <v>3</v>
      </c>
      <c r="H151" s="119" t="n">
        <f aca="false">G151+$H$7</f>
        <v>3</v>
      </c>
      <c r="I151" s="118" t="n">
        <f aca="false">'Inputs-Summary'!$B$16</f>
        <v>1.85</v>
      </c>
      <c r="J151" s="118" t="n">
        <f aca="false">VLOOKUP($A151,Table,MATCH(J$4,Curves,0))</f>
        <v>5</v>
      </c>
      <c r="K151" s="119" t="n">
        <f aca="false">J151+$K$7</f>
        <v>5</v>
      </c>
      <c r="L151" s="120" t="n">
        <f aca="false">K151</f>
        <v>5</v>
      </c>
      <c r="M151" s="118" t="n">
        <f aca="false">VLOOKUP($A151,Table,MATCH(M$4,Curves,0))</f>
        <v>5</v>
      </c>
      <c r="N151" s="119" t="n">
        <f aca="false">M151+$N$7</f>
        <v>5</v>
      </c>
      <c r="O151" s="120" t="n">
        <f aca="false">N151</f>
        <v>5</v>
      </c>
      <c r="P151" s="109"/>
      <c r="Q151" s="120" t="n">
        <f aca="false">IF($F$3=1,M151+J151+G151,J151+G151)</f>
        <v>8</v>
      </c>
      <c r="R151" s="120" t="n">
        <f aca="false">IF($F$3=1,N151+K151+H151,K151+H151)</f>
        <v>8</v>
      </c>
      <c r="S151" s="120" t="n">
        <f aca="false">IF($F$3=1,O151+L151+I151,L151+I151)</f>
        <v>6.85</v>
      </c>
      <c r="T151" s="121"/>
      <c r="U151" s="67" t="n">
        <f aca="false">A152-A151</f>
        <v>31</v>
      </c>
      <c r="V151" s="122" t="n">
        <f aca="false">CHOOSE(F$3,A152+24,A151)</f>
        <v>41548</v>
      </c>
      <c r="W151" s="67" t="n">
        <f aca="false">V151-C$3</f>
        <v>-4378</v>
      </c>
      <c r="X151" s="118" t="n">
        <f aca="false">VLOOKUP($A151,Table,MATCH(X$4,Curves,0))</f>
        <v>2</v>
      </c>
      <c r="Y151" s="123" t="n">
        <f aca="false">1/(1+CHOOSE(F$3,(X152+($K$3/10000))/2,(X151+($K$3/10000))/2))^(2*W151/365.25)</f>
        <v>16461831.1893937</v>
      </c>
      <c r="Z151" s="67" t="n">
        <f aca="false">IF(AND(mthbeg&lt;=A151,mthend&gt;=A151),1,0)</f>
        <v>0</v>
      </c>
      <c r="AA151" s="67" t="n">
        <f aca="false">U151*Z151</f>
        <v>0</v>
      </c>
      <c r="AC151" s="110" t="n">
        <f aca="false">F151*(H151-I151)</f>
        <v>0</v>
      </c>
      <c r="AD151" s="49"/>
      <c r="AE151" s="124"/>
    </row>
    <row r="152" customFormat="false" ht="12.75" hidden="false" customHeight="false" outlineLevel="0" collapsed="false">
      <c r="A152" s="115" t="n">
        <f aca="false">EDATE(A151,1)</f>
        <v>41579</v>
      </c>
      <c r="B152" s="116" t="n">
        <f aca="false">'Inputs-Summary'!$B$7</f>
        <v>3017157.21662952</v>
      </c>
      <c r="C152" s="57"/>
      <c r="D152" s="117" t="n">
        <f aca="false">B152+C152</f>
        <v>3017157.21662952</v>
      </c>
      <c r="E152" s="106" t="n">
        <f aca="false">IF(Z152=0,0,IF(AND(Z152=1,$H$3=1),D152*U152,IF($H$3=2,D152,"N/A")))</f>
        <v>0</v>
      </c>
      <c r="F152" s="106" t="n">
        <f aca="false">E152*Y152</f>
        <v>0</v>
      </c>
      <c r="G152" s="118" t="n">
        <f aca="false">VLOOKUP($A152,Table,MATCH(G$4,Curves,0))</f>
        <v>3</v>
      </c>
      <c r="H152" s="119" t="n">
        <f aca="false">G152+$H$7</f>
        <v>3</v>
      </c>
      <c r="I152" s="118" t="n">
        <f aca="false">'Inputs-Summary'!$B$16</f>
        <v>1.85</v>
      </c>
      <c r="J152" s="118" t="n">
        <f aca="false">VLOOKUP($A152,Table,MATCH(J$4,Curves,0))</f>
        <v>5</v>
      </c>
      <c r="K152" s="119" t="n">
        <f aca="false">J152+$K$7</f>
        <v>5</v>
      </c>
      <c r="L152" s="120" t="n">
        <f aca="false">K152</f>
        <v>5</v>
      </c>
      <c r="M152" s="118" t="n">
        <f aca="false">VLOOKUP($A152,Table,MATCH(M$4,Curves,0))</f>
        <v>5</v>
      </c>
      <c r="N152" s="119" t="n">
        <f aca="false">M152+$N$7</f>
        <v>5</v>
      </c>
      <c r="O152" s="120" t="n">
        <f aca="false">N152</f>
        <v>5</v>
      </c>
      <c r="P152" s="109"/>
      <c r="Q152" s="120" t="n">
        <f aca="false">IF($F$3=1,M152+J152+G152,J152+G152)</f>
        <v>8</v>
      </c>
      <c r="R152" s="120" t="n">
        <f aca="false">IF($F$3=1,N152+K152+H152,K152+H152)</f>
        <v>8</v>
      </c>
      <c r="S152" s="120" t="n">
        <f aca="false">IF($F$3=1,O152+L152+I152,L152+I152)</f>
        <v>6.85</v>
      </c>
      <c r="T152" s="121"/>
      <c r="U152" s="67" t="n">
        <f aca="false">A153-A152</f>
        <v>30</v>
      </c>
      <c r="V152" s="122" t="n">
        <f aca="false">CHOOSE(F$3,A153+24,A152)</f>
        <v>41579</v>
      </c>
      <c r="W152" s="67" t="n">
        <f aca="false">V152-C$3</f>
        <v>-4347</v>
      </c>
      <c r="X152" s="118" t="n">
        <f aca="false">VLOOKUP($A152,Table,MATCH(X$4,Curves,0))</f>
        <v>2</v>
      </c>
      <c r="Y152" s="123" t="n">
        <f aca="false">1/(1+CHOOSE(F$3,(X153+($K$3/10000))/2,(X152+($K$3/10000))/2))^(2*W152/365.25)</f>
        <v>14634546.8993673</v>
      </c>
      <c r="Z152" s="67" t="n">
        <f aca="false">IF(AND(mthbeg&lt;=A152,mthend&gt;=A152),1,0)</f>
        <v>0</v>
      </c>
      <c r="AA152" s="67" t="n">
        <f aca="false">U152*Z152</f>
        <v>0</v>
      </c>
      <c r="AC152" s="110" t="n">
        <f aca="false">F152*(H152-I152)</f>
        <v>0</v>
      </c>
      <c r="AD152" s="49"/>
      <c r="AE152" s="124"/>
    </row>
    <row r="153" customFormat="false" ht="12.75" hidden="false" customHeight="false" outlineLevel="0" collapsed="false">
      <c r="A153" s="115" t="n">
        <f aca="false">EDATE(A152,1)</f>
        <v>41609</v>
      </c>
      <c r="B153" s="116" t="n">
        <f aca="false">'Inputs-Summary'!$B$7</f>
        <v>3017157.21662952</v>
      </c>
      <c r="C153" s="57"/>
      <c r="D153" s="117" t="n">
        <f aca="false">B153+C153</f>
        <v>3017157.21662952</v>
      </c>
      <c r="E153" s="106" t="n">
        <f aca="false">IF(Z153=0,0,IF(AND(Z153=1,$H$3=1),D153*U153,IF($H$3=2,D153,"N/A")))</f>
        <v>0</v>
      </c>
      <c r="F153" s="106" t="n">
        <f aca="false">E153*Y153</f>
        <v>0</v>
      </c>
      <c r="G153" s="118" t="n">
        <f aca="false">VLOOKUP($A153,Table,MATCH(G$4,Curves,0))</f>
        <v>3</v>
      </c>
      <c r="H153" s="119" t="n">
        <f aca="false">G153+$H$7</f>
        <v>3</v>
      </c>
      <c r="I153" s="118" t="n">
        <f aca="false">'Inputs-Summary'!$B$16</f>
        <v>1.85</v>
      </c>
      <c r="J153" s="118" t="n">
        <f aca="false">VLOOKUP($A153,Table,MATCH(J$4,Curves,0))</f>
        <v>5</v>
      </c>
      <c r="K153" s="119" t="n">
        <f aca="false">J153+$K$7</f>
        <v>5</v>
      </c>
      <c r="L153" s="120" t="n">
        <f aca="false">K153</f>
        <v>5</v>
      </c>
      <c r="M153" s="118" t="n">
        <f aca="false">VLOOKUP($A153,Table,MATCH(M$4,Curves,0))</f>
        <v>5</v>
      </c>
      <c r="N153" s="119" t="n">
        <f aca="false">M153+$N$7</f>
        <v>5</v>
      </c>
      <c r="O153" s="120" t="n">
        <f aca="false">N153</f>
        <v>5</v>
      </c>
      <c r="P153" s="109"/>
      <c r="Q153" s="120" t="n">
        <f aca="false">IF($F$3=1,M153+J153+G153,J153+G153)</f>
        <v>8</v>
      </c>
      <c r="R153" s="120" t="n">
        <f aca="false">IF($F$3=1,N153+K153+H153,K153+H153)</f>
        <v>8</v>
      </c>
      <c r="S153" s="120" t="n">
        <f aca="false">IF($F$3=1,O153+L153+I153,L153+I153)</f>
        <v>6.85</v>
      </c>
      <c r="T153" s="121"/>
      <c r="U153" s="67" t="n">
        <f aca="false">A154-A153</f>
        <v>31</v>
      </c>
      <c r="V153" s="122" t="n">
        <f aca="false">CHOOSE(F$3,A154+24,A153)</f>
        <v>41609</v>
      </c>
      <c r="W153" s="67" t="n">
        <f aca="false">V153-C$3</f>
        <v>-4317</v>
      </c>
      <c r="X153" s="118" t="n">
        <f aca="false">VLOOKUP($A153,Table,MATCH(X$4,Curves,0))</f>
        <v>2</v>
      </c>
      <c r="Y153" s="123" t="n">
        <f aca="false">1/(1+CHOOSE(F$3,(X154+($K$3/10000))/2,(X153+($K$3/10000))/2))^(2*W153/365.25)</f>
        <v>13059566.7091953</v>
      </c>
      <c r="Z153" s="67" t="n">
        <f aca="false">IF(AND(mthbeg&lt;=A153,mthend&gt;=A153),1,0)</f>
        <v>0</v>
      </c>
      <c r="AA153" s="67" t="n">
        <f aca="false">U153*Z153</f>
        <v>0</v>
      </c>
      <c r="AC153" s="110" t="n">
        <f aca="false">F153*(H153-I153)</f>
        <v>0</v>
      </c>
      <c r="AD153" s="49"/>
      <c r="AE153" s="124"/>
    </row>
    <row r="154" customFormat="false" ht="12.75" hidden="false" customHeight="false" outlineLevel="0" collapsed="false">
      <c r="A154" s="115" t="n">
        <f aca="false">EDATE(A153,1)</f>
        <v>41640</v>
      </c>
      <c r="B154" s="116" t="n">
        <f aca="false">'Inputs-Summary'!$B$7</f>
        <v>3017157.21662952</v>
      </c>
      <c r="C154" s="57"/>
      <c r="D154" s="117" t="n">
        <f aca="false">B154+C154</f>
        <v>3017157.21662952</v>
      </c>
      <c r="E154" s="106" t="n">
        <f aca="false">IF(Z154=0,0,IF(AND(Z154=1,$H$3=1),D154*U154,IF($H$3=2,D154,"N/A")))</f>
        <v>0</v>
      </c>
      <c r="F154" s="106" t="n">
        <f aca="false">E154*Y154</f>
        <v>0</v>
      </c>
      <c r="G154" s="118" t="n">
        <f aca="false">VLOOKUP($A154,Table,MATCH(G$4,Curves,0))</f>
        <v>3</v>
      </c>
      <c r="H154" s="119" t="n">
        <f aca="false">G154+$H$7</f>
        <v>3</v>
      </c>
      <c r="I154" s="118" t="n">
        <f aca="false">'Inputs-Summary'!$B$16</f>
        <v>1.85</v>
      </c>
      <c r="J154" s="118" t="n">
        <f aca="false">VLOOKUP($A154,Table,MATCH(J$4,Curves,0))</f>
        <v>5</v>
      </c>
      <c r="K154" s="119" t="n">
        <f aca="false">J154+$K$7</f>
        <v>5</v>
      </c>
      <c r="L154" s="120" t="n">
        <f aca="false">K154</f>
        <v>5</v>
      </c>
      <c r="M154" s="118" t="n">
        <f aca="false">VLOOKUP($A154,Table,MATCH(M$4,Curves,0))</f>
        <v>5</v>
      </c>
      <c r="N154" s="119" t="n">
        <f aca="false">M154+$N$7</f>
        <v>5</v>
      </c>
      <c r="O154" s="120" t="n">
        <f aca="false">N154</f>
        <v>5</v>
      </c>
      <c r="P154" s="109"/>
      <c r="Q154" s="120" t="n">
        <f aca="false">IF($F$3=1,M154+J154+G154,J154+G154)</f>
        <v>8</v>
      </c>
      <c r="R154" s="120" t="n">
        <f aca="false">IF($F$3=1,N154+K154+H154,K154+H154)</f>
        <v>8</v>
      </c>
      <c r="S154" s="120" t="n">
        <f aca="false">IF($F$3=1,O154+L154+I154,L154+I154)</f>
        <v>6.85</v>
      </c>
      <c r="T154" s="121"/>
      <c r="U154" s="67" t="n">
        <f aca="false">A155-A154</f>
        <v>31</v>
      </c>
      <c r="V154" s="122" t="n">
        <f aca="false">CHOOSE(F$3,A155+24,A154)</f>
        <v>41640</v>
      </c>
      <c r="W154" s="67" t="n">
        <f aca="false">V154-C$3</f>
        <v>-4286</v>
      </c>
      <c r="X154" s="118" t="n">
        <f aca="false">VLOOKUP($A154,Table,MATCH(X$4,Curves,0))</f>
        <v>2</v>
      </c>
      <c r="Y154" s="123" t="n">
        <f aca="false">1/(1+CHOOSE(F$3,(X155+($K$3/10000))/2,(X154+($K$3/10000))/2))^(2*W154/365.25)</f>
        <v>11609938.1224535</v>
      </c>
      <c r="Z154" s="67" t="n">
        <f aca="false">IF(AND(mthbeg&lt;=A154,mthend&gt;=A154),1,0)</f>
        <v>0</v>
      </c>
      <c r="AA154" s="67" t="n">
        <f aca="false">U154*Z154</f>
        <v>0</v>
      </c>
      <c r="AC154" s="110" t="n">
        <f aca="false">F154*(H154-I154)</f>
        <v>0</v>
      </c>
      <c r="AD154" s="49"/>
      <c r="AE154" s="124"/>
    </row>
    <row r="155" customFormat="false" ht="12.75" hidden="false" customHeight="false" outlineLevel="0" collapsed="false">
      <c r="A155" s="115" t="n">
        <f aca="false">EDATE(A154,1)</f>
        <v>41671</v>
      </c>
      <c r="B155" s="116" t="n">
        <f aca="false">'Inputs-Summary'!$B$7</f>
        <v>3017157.21662952</v>
      </c>
      <c r="C155" s="57"/>
      <c r="D155" s="117" t="n">
        <f aca="false">B155+C155</f>
        <v>3017157.21662952</v>
      </c>
      <c r="E155" s="106" t="n">
        <f aca="false">IF(Z155=0,0,IF(AND(Z155=1,$H$3=1),D155*U155,IF($H$3=2,D155,"N/A")))</f>
        <v>0</v>
      </c>
      <c r="F155" s="106" t="n">
        <f aca="false">E155*Y155</f>
        <v>0</v>
      </c>
      <c r="G155" s="118" t="n">
        <f aca="false">VLOOKUP($A155,Table,MATCH(G$4,Curves,0))</f>
        <v>3</v>
      </c>
      <c r="H155" s="119" t="n">
        <f aca="false">G155+$H$7</f>
        <v>3</v>
      </c>
      <c r="I155" s="118" t="n">
        <f aca="false">'Inputs-Summary'!$B$16</f>
        <v>1.85</v>
      </c>
      <c r="J155" s="118" t="n">
        <f aca="false">VLOOKUP($A155,Table,MATCH(J$4,Curves,0))</f>
        <v>5</v>
      </c>
      <c r="K155" s="119" t="n">
        <f aca="false">J155+$K$7</f>
        <v>5</v>
      </c>
      <c r="L155" s="120" t="n">
        <f aca="false">K155</f>
        <v>5</v>
      </c>
      <c r="M155" s="118" t="n">
        <f aca="false">VLOOKUP($A155,Table,MATCH(M$4,Curves,0))</f>
        <v>5</v>
      </c>
      <c r="N155" s="119" t="n">
        <f aca="false">M155+$N$7</f>
        <v>5</v>
      </c>
      <c r="O155" s="120" t="n">
        <f aca="false">N155</f>
        <v>5</v>
      </c>
      <c r="P155" s="109"/>
      <c r="Q155" s="120" t="n">
        <f aca="false">IF($F$3=1,M155+J155+G155,J155+G155)</f>
        <v>8</v>
      </c>
      <c r="R155" s="120" t="n">
        <f aca="false">IF($F$3=1,N155+K155+H155,K155+H155)</f>
        <v>8</v>
      </c>
      <c r="S155" s="120" t="n">
        <f aca="false">IF($F$3=1,O155+L155+I155,L155+I155)</f>
        <v>6.85</v>
      </c>
      <c r="T155" s="121"/>
      <c r="U155" s="67" t="n">
        <f aca="false">A156-A155</f>
        <v>28</v>
      </c>
      <c r="V155" s="122" t="n">
        <f aca="false">CHOOSE(F$3,A156+24,A155)</f>
        <v>41671</v>
      </c>
      <c r="W155" s="67" t="n">
        <f aca="false">V155-C$3</f>
        <v>-4255</v>
      </c>
      <c r="X155" s="118" t="n">
        <f aca="false">VLOOKUP($A155,Table,MATCH(X$4,Curves,0))</f>
        <v>2</v>
      </c>
      <c r="Y155" s="123" t="n">
        <f aca="false">1/(1+CHOOSE(F$3,(X156+($K$3/10000))/2,(X155+($K$3/10000))/2))^(2*W155/365.25)</f>
        <v>10321220.1605656</v>
      </c>
      <c r="Z155" s="67" t="n">
        <f aca="false">IF(AND(mthbeg&lt;=A155,mthend&gt;=A155),1,0)</f>
        <v>0</v>
      </c>
      <c r="AA155" s="67" t="n">
        <f aca="false">U155*Z155</f>
        <v>0</v>
      </c>
      <c r="AC155" s="110" t="n">
        <f aca="false">F155*(H155-I155)</f>
        <v>0</v>
      </c>
      <c r="AD155" s="49"/>
      <c r="AE155" s="124"/>
    </row>
    <row r="156" customFormat="false" ht="12.75" hidden="false" customHeight="false" outlineLevel="0" collapsed="false">
      <c r="A156" s="115" t="n">
        <f aca="false">EDATE(A155,1)</f>
        <v>41699</v>
      </c>
      <c r="B156" s="116" t="n">
        <f aca="false">'Inputs-Summary'!$B$7</f>
        <v>3017157.21662952</v>
      </c>
      <c r="C156" s="57"/>
      <c r="D156" s="117" t="n">
        <f aca="false">B156+C156</f>
        <v>3017157.21662952</v>
      </c>
      <c r="E156" s="106" t="n">
        <f aca="false">IF(Z156=0,0,IF(AND(Z156=1,$H$3=1),D156*U156,IF($H$3=2,D156,"N/A")))</f>
        <v>0</v>
      </c>
      <c r="F156" s="106" t="n">
        <f aca="false">E156*Y156</f>
        <v>0</v>
      </c>
      <c r="G156" s="118" t="n">
        <f aca="false">VLOOKUP($A156,Table,MATCH(G$4,Curves,0))</f>
        <v>3</v>
      </c>
      <c r="H156" s="119" t="n">
        <f aca="false">G156+$H$7</f>
        <v>3</v>
      </c>
      <c r="I156" s="118" t="n">
        <f aca="false">'Inputs-Summary'!$B$16</f>
        <v>1.85</v>
      </c>
      <c r="J156" s="118" t="n">
        <f aca="false">VLOOKUP($A156,Table,MATCH(J$4,Curves,0))</f>
        <v>5</v>
      </c>
      <c r="K156" s="119" t="n">
        <f aca="false">J156+$K$7</f>
        <v>5</v>
      </c>
      <c r="L156" s="120" t="n">
        <f aca="false">K156</f>
        <v>5</v>
      </c>
      <c r="M156" s="118" t="n">
        <f aca="false">VLOOKUP($A156,Table,MATCH(M$4,Curves,0))</f>
        <v>5</v>
      </c>
      <c r="N156" s="119" t="n">
        <f aca="false">M156+$N$7</f>
        <v>5</v>
      </c>
      <c r="O156" s="120" t="n">
        <f aca="false">N156</f>
        <v>5</v>
      </c>
      <c r="P156" s="109"/>
      <c r="Q156" s="120" t="n">
        <f aca="false">IF($F$3=1,M156+J156+G156,J156+G156)</f>
        <v>8</v>
      </c>
      <c r="R156" s="120" t="n">
        <f aca="false">IF($F$3=1,N156+K156+H156,K156+H156)</f>
        <v>8</v>
      </c>
      <c r="S156" s="120" t="n">
        <f aca="false">IF($F$3=1,O156+L156+I156,L156+I156)</f>
        <v>6.85</v>
      </c>
      <c r="T156" s="121"/>
      <c r="U156" s="67" t="n">
        <f aca="false">A157-A156</f>
        <v>31</v>
      </c>
      <c r="V156" s="122" t="n">
        <f aca="false">CHOOSE(F$3,A157+24,A156)</f>
        <v>41699</v>
      </c>
      <c r="W156" s="67" t="n">
        <f aca="false">V156-C$3</f>
        <v>-4227</v>
      </c>
      <c r="X156" s="118" t="n">
        <f aca="false">VLOOKUP($A156,Table,MATCH(X$4,Curves,0))</f>
        <v>2</v>
      </c>
      <c r="Y156" s="123" t="n">
        <f aca="false">1/(1+CHOOSE(F$3,(X157+($K$3/10000))/2,(X156+($K$3/10000))/2))^(2*W156/365.25)</f>
        <v>9280625.12056607</v>
      </c>
      <c r="Z156" s="67" t="n">
        <f aca="false">IF(AND(mthbeg&lt;=A156,mthend&gt;=A156),1,0)</f>
        <v>0</v>
      </c>
      <c r="AA156" s="67" t="n">
        <f aca="false">U156*Z156</f>
        <v>0</v>
      </c>
      <c r="AC156" s="110" t="n">
        <f aca="false">F156*(H156-I156)</f>
        <v>0</v>
      </c>
      <c r="AD156" s="49"/>
      <c r="AE156" s="124"/>
    </row>
    <row r="157" customFormat="false" ht="12.75" hidden="false" customHeight="false" outlineLevel="0" collapsed="false">
      <c r="A157" s="115" t="n">
        <f aca="false">EDATE(A156,1)</f>
        <v>41730</v>
      </c>
      <c r="B157" s="116" t="n">
        <f aca="false">'Inputs-Summary'!$B$7</f>
        <v>3017157.21662952</v>
      </c>
      <c r="C157" s="57"/>
      <c r="D157" s="117" t="n">
        <f aca="false">B157+C157</f>
        <v>3017157.21662952</v>
      </c>
      <c r="E157" s="106" t="n">
        <f aca="false">IF(Z157=0,0,IF(AND(Z157=1,$H$3=1),D157*U157,IF($H$3=2,D157,"N/A")))</f>
        <v>0</v>
      </c>
      <c r="F157" s="106" t="n">
        <f aca="false">E157*Y157</f>
        <v>0</v>
      </c>
      <c r="G157" s="118" t="n">
        <f aca="false">VLOOKUP($A157,Table,MATCH(G$4,Curves,0))</f>
        <v>3</v>
      </c>
      <c r="H157" s="119" t="n">
        <f aca="false">G157+$H$7</f>
        <v>3</v>
      </c>
      <c r="I157" s="118" t="n">
        <f aca="false">'Inputs-Summary'!$B$16</f>
        <v>1.85</v>
      </c>
      <c r="J157" s="118" t="n">
        <f aca="false">VLOOKUP($A157,Table,MATCH(J$4,Curves,0))</f>
        <v>5</v>
      </c>
      <c r="K157" s="119" t="n">
        <f aca="false">J157+$K$7</f>
        <v>5</v>
      </c>
      <c r="L157" s="120" t="n">
        <f aca="false">K157</f>
        <v>5</v>
      </c>
      <c r="M157" s="118" t="n">
        <f aca="false">VLOOKUP($A157,Table,MATCH(M$4,Curves,0))</f>
        <v>5</v>
      </c>
      <c r="N157" s="119" t="n">
        <f aca="false">M157+$N$7</f>
        <v>5</v>
      </c>
      <c r="O157" s="120" t="n">
        <f aca="false">N157</f>
        <v>5</v>
      </c>
      <c r="P157" s="109"/>
      <c r="Q157" s="120" t="n">
        <f aca="false">IF($F$3=1,M157+J157+G157,J157+G157)</f>
        <v>8</v>
      </c>
      <c r="R157" s="120" t="n">
        <f aca="false">IF($F$3=1,N157+K157+H157,K157+H157)</f>
        <v>8</v>
      </c>
      <c r="S157" s="120" t="n">
        <f aca="false">IF($F$3=1,O157+L157+I157,L157+I157)</f>
        <v>6.85</v>
      </c>
      <c r="T157" s="121"/>
      <c r="U157" s="67" t="n">
        <f aca="false">A158-A157</f>
        <v>30</v>
      </c>
      <c r="V157" s="122" t="n">
        <f aca="false">CHOOSE(F$3,A158+24,A157)</f>
        <v>41730</v>
      </c>
      <c r="W157" s="67" t="n">
        <f aca="false">V157-C$3</f>
        <v>-4196</v>
      </c>
      <c r="X157" s="118" t="n">
        <f aca="false">VLOOKUP($A157,Table,MATCH(X$4,Curves,0))</f>
        <v>2</v>
      </c>
      <c r="Y157" s="123" t="n">
        <f aca="false">1/(1+CHOOSE(F$3,(X158+($K$3/10000))/2,(X157+($K$3/10000))/2))^(2*W157/365.25)</f>
        <v>8250463.8773041</v>
      </c>
      <c r="Z157" s="67" t="n">
        <f aca="false">IF(AND(mthbeg&lt;=A157,mthend&gt;=A157),1,0)</f>
        <v>0</v>
      </c>
      <c r="AA157" s="67" t="n">
        <f aca="false">U157*Z157</f>
        <v>0</v>
      </c>
      <c r="AC157" s="110" t="n">
        <f aca="false">F157*(H157-I157)</f>
        <v>0</v>
      </c>
      <c r="AD157" s="49"/>
      <c r="AE157" s="124"/>
    </row>
    <row r="158" customFormat="false" ht="12.75" hidden="false" customHeight="false" outlineLevel="0" collapsed="false">
      <c r="A158" s="115" t="n">
        <f aca="false">EDATE(A157,1)</f>
        <v>41760</v>
      </c>
      <c r="B158" s="116" t="n">
        <f aca="false">'Inputs-Summary'!$B$7</f>
        <v>3017157.21662952</v>
      </c>
      <c r="C158" s="57"/>
      <c r="D158" s="117" t="n">
        <f aca="false">B158+C158</f>
        <v>3017157.21662952</v>
      </c>
      <c r="E158" s="106" t="n">
        <f aca="false">IF(Z158=0,0,IF(AND(Z158=1,$H$3=1),D158*U158,IF($H$3=2,D158,"N/A")))</f>
        <v>0</v>
      </c>
      <c r="F158" s="106" t="n">
        <f aca="false">E158*Y158</f>
        <v>0</v>
      </c>
      <c r="G158" s="118" t="n">
        <f aca="false">VLOOKUP($A158,Table,MATCH(G$4,Curves,0))</f>
        <v>3</v>
      </c>
      <c r="H158" s="119" t="n">
        <f aca="false">G158+$H$7</f>
        <v>3</v>
      </c>
      <c r="I158" s="118" t="n">
        <f aca="false">'Inputs-Summary'!$B$16</f>
        <v>1.85</v>
      </c>
      <c r="J158" s="118" t="n">
        <f aca="false">VLOOKUP($A158,Table,MATCH(J$4,Curves,0))</f>
        <v>5</v>
      </c>
      <c r="K158" s="119" t="n">
        <f aca="false">J158+$K$7</f>
        <v>5</v>
      </c>
      <c r="L158" s="120" t="n">
        <f aca="false">K158</f>
        <v>5</v>
      </c>
      <c r="M158" s="118" t="n">
        <f aca="false">VLOOKUP($A158,Table,MATCH(M$4,Curves,0))</f>
        <v>5</v>
      </c>
      <c r="N158" s="119" t="n">
        <f aca="false">M158+$N$7</f>
        <v>5</v>
      </c>
      <c r="O158" s="120" t="n">
        <f aca="false">N158</f>
        <v>5</v>
      </c>
      <c r="P158" s="109"/>
      <c r="Q158" s="120" t="n">
        <f aca="false">IF($F$3=1,M158+J158+G158,J158+G158)</f>
        <v>8</v>
      </c>
      <c r="R158" s="120" t="n">
        <f aca="false">IF($F$3=1,N158+K158+H158,K158+H158)</f>
        <v>8</v>
      </c>
      <c r="S158" s="120" t="n">
        <f aca="false">IF($F$3=1,O158+L158+I158,L158+I158)</f>
        <v>6.85</v>
      </c>
      <c r="T158" s="121"/>
      <c r="U158" s="67" t="n">
        <f aca="false">A159-A158</f>
        <v>31</v>
      </c>
      <c r="V158" s="122" t="n">
        <f aca="false">CHOOSE(F$3,A159+24,A158)</f>
        <v>41760</v>
      </c>
      <c r="W158" s="67" t="n">
        <f aca="false">V158-C$3</f>
        <v>-4166</v>
      </c>
      <c r="X158" s="118" t="n">
        <f aca="false">VLOOKUP($A158,Table,MATCH(X$4,Curves,0))</f>
        <v>2</v>
      </c>
      <c r="Y158" s="123" t="n">
        <f aca="false">1/(1+CHOOSE(F$3,(X159+($K$3/10000))/2,(X158+($K$3/10000))/2))^(2*W158/365.25)</f>
        <v>7362543.17461084</v>
      </c>
      <c r="Z158" s="67" t="n">
        <f aca="false">IF(AND(mthbeg&lt;=A158,mthend&gt;=A158),1,0)</f>
        <v>0</v>
      </c>
      <c r="AA158" s="67" t="n">
        <f aca="false">U158*Z158</f>
        <v>0</v>
      </c>
      <c r="AC158" s="110" t="n">
        <f aca="false">F158*(H158-I158)</f>
        <v>0</v>
      </c>
      <c r="AD158" s="49"/>
      <c r="AE158" s="124"/>
    </row>
    <row r="159" customFormat="false" ht="12.75" hidden="false" customHeight="false" outlineLevel="0" collapsed="false">
      <c r="A159" s="115" t="n">
        <f aca="false">EDATE(A158,1)</f>
        <v>41791</v>
      </c>
      <c r="B159" s="116" t="n">
        <f aca="false">'Inputs-Summary'!$B$7</f>
        <v>3017157.21662952</v>
      </c>
      <c r="C159" s="57"/>
      <c r="D159" s="117" t="n">
        <f aca="false">B159+C159</f>
        <v>3017157.21662952</v>
      </c>
      <c r="E159" s="106" t="n">
        <f aca="false">IF(Z159=0,0,IF(AND(Z159=1,$H$3=1),D159*U159,IF($H$3=2,D159,"N/A")))</f>
        <v>0</v>
      </c>
      <c r="F159" s="106" t="n">
        <f aca="false">E159*Y159</f>
        <v>0</v>
      </c>
      <c r="G159" s="118" t="n">
        <f aca="false">VLOOKUP($A159,Table,MATCH(G$4,Curves,0))</f>
        <v>3</v>
      </c>
      <c r="H159" s="119" t="n">
        <f aca="false">G159+$H$7</f>
        <v>3</v>
      </c>
      <c r="I159" s="118" t="n">
        <f aca="false">'Inputs-Summary'!$B$16</f>
        <v>1.85</v>
      </c>
      <c r="J159" s="118" t="n">
        <f aca="false">VLOOKUP($A159,Table,MATCH(J$4,Curves,0))</f>
        <v>5</v>
      </c>
      <c r="K159" s="119" t="n">
        <f aca="false">J159+$K$7</f>
        <v>5</v>
      </c>
      <c r="L159" s="120" t="n">
        <f aca="false">K159</f>
        <v>5</v>
      </c>
      <c r="M159" s="118" t="n">
        <f aca="false">VLOOKUP($A159,Table,MATCH(M$4,Curves,0))</f>
        <v>5</v>
      </c>
      <c r="N159" s="119" t="n">
        <f aca="false">M159+$N$7</f>
        <v>5</v>
      </c>
      <c r="O159" s="120" t="n">
        <f aca="false">N159</f>
        <v>5</v>
      </c>
      <c r="P159" s="109"/>
      <c r="Q159" s="120" t="n">
        <f aca="false">IF($F$3=1,M159+J159+G159,J159+G159)</f>
        <v>8</v>
      </c>
      <c r="R159" s="120" t="n">
        <f aca="false">IF($F$3=1,N159+K159+H159,K159+H159)</f>
        <v>8</v>
      </c>
      <c r="S159" s="120" t="n">
        <f aca="false">IF($F$3=1,O159+L159+I159,L159+I159)</f>
        <v>6.85</v>
      </c>
      <c r="T159" s="121"/>
      <c r="U159" s="67" t="n">
        <f aca="false">A160-A159</f>
        <v>30</v>
      </c>
      <c r="V159" s="122" t="n">
        <f aca="false">CHOOSE(F$3,A160+24,A159)</f>
        <v>41791</v>
      </c>
      <c r="W159" s="67" t="n">
        <f aca="false">V159-C$3</f>
        <v>-4135</v>
      </c>
      <c r="X159" s="118" t="n">
        <f aca="false">VLOOKUP($A159,Table,MATCH(X$4,Curves,0))</f>
        <v>2</v>
      </c>
      <c r="Y159" s="123" t="n">
        <f aca="false">1/(1+CHOOSE(F$3,(X160+($K$3/10000))/2,(X159+($K$3/10000))/2))^(2*W159/365.25)</f>
        <v>6545291.47746822</v>
      </c>
      <c r="Z159" s="67" t="n">
        <f aca="false">IF(AND(mthbeg&lt;=A159,mthend&gt;=A159),1,0)</f>
        <v>0</v>
      </c>
      <c r="AA159" s="67" t="n">
        <f aca="false">U159*Z159</f>
        <v>0</v>
      </c>
      <c r="AC159" s="110" t="n">
        <f aca="false">F159*(H159-I159)</f>
        <v>0</v>
      </c>
      <c r="AD159" s="49"/>
      <c r="AE159" s="124"/>
    </row>
    <row r="160" customFormat="false" ht="12.75" hidden="false" customHeight="false" outlineLevel="0" collapsed="false">
      <c r="A160" s="115" t="n">
        <f aca="false">EDATE(A159,1)</f>
        <v>41821</v>
      </c>
      <c r="B160" s="116" t="n">
        <f aca="false">'Inputs-Summary'!$B$7</f>
        <v>3017157.21662952</v>
      </c>
      <c r="C160" s="57"/>
      <c r="D160" s="117" t="n">
        <f aca="false">B160+C160</f>
        <v>3017157.21662952</v>
      </c>
      <c r="E160" s="106" t="n">
        <f aca="false">IF(Z160=0,0,IF(AND(Z160=1,$H$3=1),D160*U160,IF($H$3=2,D160,"N/A")))</f>
        <v>0</v>
      </c>
      <c r="F160" s="106" t="n">
        <f aca="false">E160*Y160</f>
        <v>0</v>
      </c>
      <c r="G160" s="118" t="n">
        <f aca="false">VLOOKUP($A160,Table,MATCH(G$4,Curves,0))</f>
        <v>3</v>
      </c>
      <c r="H160" s="119" t="n">
        <f aca="false">G160+$H$7</f>
        <v>3</v>
      </c>
      <c r="I160" s="118" t="n">
        <f aca="false">'Inputs-Summary'!$B$16</f>
        <v>1.85</v>
      </c>
      <c r="J160" s="118" t="n">
        <f aca="false">VLOOKUP($A160,Table,MATCH(J$4,Curves,0))</f>
        <v>5</v>
      </c>
      <c r="K160" s="119" t="n">
        <f aca="false">J160+$K$7</f>
        <v>5</v>
      </c>
      <c r="L160" s="120" t="n">
        <f aca="false">K160</f>
        <v>5</v>
      </c>
      <c r="M160" s="118" t="n">
        <f aca="false">VLOOKUP($A160,Table,MATCH(M$4,Curves,0))</f>
        <v>5</v>
      </c>
      <c r="N160" s="119" t="n">
        <f aca="false">M160+$N$7</f>
        <v>5</v>
      </c>
      <c r="O160" s="120" t="n">
        <f aca="false">N160</f>
        <v>5</v>
      </c>
      <c r="P160" s="109"/>
      <c r="Q160" s="120" t="n">
        <f aca="false">IF($F$3=1,M160+J160+G160,J160+G160)</f>
        <v>8</v>
      </c>
      <c r="R160" s="120" t="n">
        <f aca="false">IF($F$3=1,N160+K160+H160,K160+H160)</f>
        <v>8</v>
      </c>
      <c r="S160" s="120" t="n">
        <f aca="false">IF($F$3=1,O160+L160+I160,L160+I160)</f>
        <v>6.85</v>
      </c>
      <c r="T160" s="121"/>
      <c r="U160" s="67" t="n">
        <f aca="false">A161-A160</f>
        <v>31</v>
      </c>
      <c r="V160" s="122" t="n">
        <f aca="false">CHOOSE(F$3,A161+24,A160)</f>
        <v>41821</v>
      </c>
      <c r="W160" s="67" t="n">
        <f aca="false">V160-C$3</f>
        <v>-4105</v>
      </c>
      <c r="X160" s="118" t="n">
        <f aca="false">VLOOKUP($A160,Table,MATCH(X$4,Curves,0))</f>
        <v>2</v>
      </c>
      <c r="Y160" s="123" t="n">
        <f aca="false">1/(1+CHOOSE(F$3,(X161+($K$3/10000))/2,(X160+($K$3/10000))/2))^(2*W160/365.25)</f>
        <v>5840882.62307727</v>
      </c>
      <c r="Z160" s="67" t="n">
        <f aca="false">IF(AND(mthbeg&lt;=A160,mthend&gt;=A160),1,0)</f>
        <v>0</v>
      </c>
      <c r="AA160" s="67" t="n">
        <f aca="false">U160*Z160</f>
        <v>0</v>
      </c>
      <c r="AC160" s="110" t="n">
        <f aca="false">F160*(H160-I160)</f>
        <v>0</v>
      </c>
      <c r="AD160" s="49"/>
      <c r="AE160" s="124"/>
    </row>
    <row r="161" customFormat="false" ht="12.75" hidden="false" customHeight="false" outlineLevel="0" collapsed="false">
      <c r="A161" s="115" t="n">
        <f aca="false">EDATE(A160,1)</f>
        <v>41852</v>
      </c>
      <c r="B161" s="116" t="n">
        <f aca="false">'Inputs-Summary'!$B$7</f>
        <v>3017157.21662952</v>
      </c>
      <c r="C161" s="57"/>
      <c r="D161" s="117" t="n">
        <f aca="false">B161+C161</f>
        <v>3017157.21662952</v>
      </c>
      <c r="E161" s="106" t="n">
        <f aca="false">IF(Z161=0,0,IF(AND(Z161=1,$H$3=1),D161*U161,IF($H$3=2,D161,"N/A")))</f>
        <v>0</v>
      </c>
      <c r="F161" s="106" t="n">
        <f aca="false">E161*Y161</f>
        <v>0</v>
      </c>
      <c r="G161" s="118" t="n">
        <f aca="false">VLOOKUP($A161,Table,MATCH(G$4,Curves,0))</f>
        <v>3</v>
      </c>
      <c r="H161" s="119" t="n">
        <f aca="false">G161+$H$7</f>
        <v>3</v>
      </c>
      <c r="I161" s="118" t="n">
        <f aca="false">'Inputs-Summary'!$B$16</f>
        <v>1.85</v>
      </c>
      <c r="J161" s="118" t="n">
        <f aca="false">VLOOKUP($A161,Table,MATCH(J$4,Curves,0))</f>
        <v>5</v>
      </c>
      <c r="K161" s="119" t="n">
        <f aca="false">J161+$K$7</f>
        <v>5</v>
      </c>
      <c r="L161" s="120" t="n">
        <f aca="false">K161</f>
        <v>5</v>
      </c>
      <c r="M161" s="118" t="n">
        <f aca="false">VLOOKUP($A161,Table,MATCH(M$4,Curves,0))</f>
        <v>5</v>
      </c>
      <c r="N161" s="119" t="n">
        <f aca="false">M161+$N$7</f>
        <v>5</v>
      </c>
      <c r="O161" s="120" t="n">
        <f aca="false">N161</f>
        <v>5</v>
      </c>
      <c r="P161" s="109"/>
      <c r="Q161" s="120" t="n">
        <f aca="false">IF($F$3=1,M161+J161+G161,J161+G161)</f>
        <v>8</v>
      </c>
      <c r="R161" s="120" t="n">
        <f aca="false">IF($F$3=1,N161+K161+H161,K161+H161)</f>
        <v>8</v>
      </c>
      <c r="S161" s="120" t="n">
        <f aca="false">IF($F$3=1,O161+L161+I161,L161+I161)</f>
        <v>6.85</v>
      </c>
      <c r="T161" s="121"/>
      <c r="U161" s="67" t="n">
        <f aca="false">A162-A161</f>
        <v>31</v>
      </c>
      <c r="V161" s="122" t="n">
        <f aca="false">CHOOSE(F$3,A162+24,A161)</f>
        <v>41852</v>
      </c>
      <c r="W161" s="67" t="n">
        <f aca="false">V161-C$3</f>
        <v>-4074</v>
      </c>
      <c r="X161" s="118" t="n">
        <f aca="false">VLOOKUP($A161,Table,MATCH(X$4,Curves,0))</f>
        <v>2</v>
      </c>
      <c r="Y161" s="123" t="n">
        <f aca="false">1/(1+CHOOSE(F$3,(X162+($K$3/10000))/2,(X161+($K$3/10000))/2))^(2*W161/365.25)</f>
        <v>5192537.19089269</v>
      </c>
      <c r="Z161" s="67" t="n">
        <f aca="false">IF(AND(mthbeg&lt;=A161,mthend&gt;=A161),1,0)</f>
        <v>0</v>
      </c>
      <c r="AA161" s="67" t="n">
        <f aca="false">U161*Z161</f>
        <v>0</v>
      </c>
      <c r="AC161" s="110" t="n">
        <f aca="false">F161*(H161-I161)</f>
        <v>0</v>
      </c>
      <c r="AD161" s="49"/>
      <c r="AE161" s="124"/>
    </row>
    <row r="162" customFormat="false" ht="12.75" hidden="false" customHeight="false" outlineLevel="0" collapsed="false">
      <c r="A162" s="115" t="n">
        <f aca="false">EDATE(A161,1)</f>
        <v>41883</v>
      </c>
      <c r="B162" s="116" t="n">
        <f aca="false">'Inputs-Summary'!$B$7</f>
        <v>3017157.21662952</v>
      </c>
      <c r="C162" s="57"/>
      <c r="D162" s="117" t="n">
        <f aca="false">B162+C162</f>
        <v>3017157.21662952</v>
      </c>
      <c r="E162" s="106" t="n">
        <f aca="false">IF(Z162=0,0,IF(AND(Z162=1,$H$3=1),D162*U162,IF($H$3=2,D162,"N/A")))</f>
        <v>0</v>
      </c>
      <c r="F162" s="106" t="n">
        <f aca="false">E162*Y162</f>
        <v>0</v>
      </c>
      <c r="G162" s="118" t="n">
        <f aca="false">VLOOKUP($A162,Table,MATCH(G$4,Curves,0))</f>
        <v>3</v>
      </c>
      <c r="H162" s="119" t="n">
        <f aca="false">G162+$H$7</f>
        <v>3</v>
      </c>
      <c r="I162" s="118" t="n">
        <f aca="false">'Inputs-Summary'!$B$16</f>
        <v>1.85</v>
      </c>
      <c r="J162" s="118" t="n">
        <f aca="false">VLOOKUP($A162,Table,MATCH(J$4,Curves,0))</f>
        <v>5</v>
      </c>
      <c r="K162" s="119" t="n">
        <f aca="false">J162+$K$7</f>
        <v>5</v>
      </c>
      <c r="L162" s="120" t="n">
        <f aca="false">K162</f>
        <v>5</v>
      </c>
      <c r="M162" s="118" t="n">
        <f aca="false">VLOOKUP($A162,Table,MATCH(M$4,Curves,0))</f>
        <v>5</v>
      </c>
      <c r="N162" s="119" t="n">
        <f aca="false">M162+$N$7</f>
        <v>5</v>
      </c>
      <c r="O162" s="120" t="n">
        <f aca="false">N162</f>
        <v>5</v>
      </c>
      <c r="P162" s="109"/>
      <c r="Q162" s="120" t="n">
        <f aca="false">IF($F$3=1,M162+J162+G162,J162+G162)</f>
        <v>8</v>
      </c>
      <c r="R162" s="120" t="n">
        <f aca="false">IF($F$3=1,N162+K162+H162,K162+H162)</f>
        <v>8</v>
      </c>
      <c r="S162" s="120" t="n">
        <f aca="false">IF($F$3=1,O162+L162+I162,L162+I162)</f>
        <v>6.85</v>
      </c>
      <c r="T162" s="121"/>
      <c r="U162" s="67" t="n">
        <f aca="false">A163-A162</f>
        <v>30</v>
      </c>
      <c r="V162" s="122" t="n">
        <f aca="false">CHOOSE(F$3,A163+24,A162)</f>
        <v>41883</v>
      </c>
      <c r="W162" s="67" t="n">
        <f aca="false">V162-C$3</f>
        <v>-4043</v>
      </c>
      <c r="X162" s="118" t="n">
        <f aca="false">VLOOKUP($A162,Table,MATCH(X$4,Curves,0))</f>
        <v>2</v>
      </c>
      <c r="Y162" s="123" t="n">
        <f aca="false">1/(1+CHOOSE(F$3,(X163+($K$3/10000))/2,(X162+($K$3/10000))/2))^(2*W162/365.25)</f>
        <v>4616158.92986367</v>
      </c>
      <c r="Z162" s="67" t="n">
        <f aca="false">IF(AND(mthbeg&lt;=A162,mthend&gt;=A162),1,0)</f>
        <v>0</v>
      </c>
      <c r="AA162" s="67" t="n">
        <f aca="false">U162*Z162</f>
        <v>0</v>
      </c>
      <c r="AC162" s="110" t="n">
        <f aca="false">F162*(H162-I162)</f>
        <v>0</v>
      </c>
      <c r="AD162" s="49"/>
      <c r="AE162" s="124"/>
    </row>
    <row r="163" customFormat="false" ht="12.75" hidden="false" customHeight="false" outlineLevel="0" collapsed="false">
      <c r="A163" s="115" t="n">
        <f aca="false">EDATE(A162,1)</f>
        <v>41913</v>
      </c>
      <c r="B163" s="116" t="n">
        <f aca="false">'Inputs-Summary'!$B$7</f>
        <v>3017157.21662952</v>
      </c>
      <c r="C163" s="57"/>
      <c r="D163" s="117" t="n">
        <f aca="false">B163+C163</f>
        <v>3017157.21662952</v>
      </c>
      <c r="E163" s="106" t="n">
        <f aca="false">IF(Z163=0,0,IF(AND(Z163=1,$H$3=1),D163*U163,IF($H$3=2,D163,"N/A")))</f>
        <v>0</v>
      </c>
      <c r="F163" s="106" t="n">
        <f aca="false">E163*Y163</f>
        <v>0</v>
      </c>
      <c r="G163" s="118" t="n">
        <f aca="false">VLOOKUP($A163,Table,MATCH(G$4,Curves,0))</f>
        <v>3</v>
      </c>
      <c r="H163" s="119" t="n">
        <f aca="false">G163+$H$7</f>
        <v>3</v>
      </c>
      <c r="I163" s="118" t="n">
        <f aca="false">'Inputs-Summary'!$B$16</f>
        <v>1.85</v>
      </c>
      <c r="J163" s="118" t="n">
        <f aca="false">VLOOKUP($A163,Table,MATCH(J$4,Curves,0))</f>
        <v>5</v>
      </c>
      <c r="K163" s="119" t="n">
        <f aca="false">J163+$K$7</f>
        <v>5</v>
      </c>
      <c r="L163" s="120" t="n">
        <f aca="false">K163</f>
        <v>5</v>
      </c>
      <c r="M163" s="118" t="n">
        <f aca="false">VLOOKUP($A163,Table,MATCH(M$4,Curves,0))</f>
        <v>5</v>
      </c>
      <c r="N163" s="119" t="n">
        <f aca="false">M163+$N$7</f>
        <v>5</v>
      </c>
      <c r="O163" s="120" t="n">
        <f aca="false">N163</f>
        <v>5</v>
      </c>
      <c r="P163" s="109"/>
      <c r="Q163" s="120" t="n">
        <f aca="false">IF($F$3=1,M163+J163+G163,J163+G163)</f>
        <v>8</v>
      </c>
      <c r="R163" s="120" t="n">
        <f aca="false">IF($F$3=1,N163+K163+H163,K163+H163)</f>
        <v>8</v>
      </c>
      <c r="S163" s="120" t="n">
        <f aca="false">IF($F$3=1,O163+L163+I163,L163+I163)</f>
        <v>6.85</v>
      </c>
      <c r="T163" s="121"/>
      <c r="U163" s="67" t="n">
        <f aca="false">A164-A163</f>
        <v>31</v>
      </c>
      <c r="V163" s="122" t="n">
        <f aca="false">CHOOSE(F$3,A164+24,A163)</f>
        <v>41913</v>
      </c>
      <c r="W163" s="67" t="n">
        <f aca="false">V163-C$3</f>
        <v>-4013</v>
      </c>
      <c r="X163" s="118" t="n">
        <f aca="false">VLOOKUP($A163,Table,MATCH(X$4,Curves,0))</f>
        <v>2</v>
      </c>
      <c r="Y163" s="123" t="n">
        <f aca="false">1/(1+CHOOSE(F$3,(X164+($K$3/10000))/2,(X163+($K$3/10000))/2))^(2*W163/365.25)</f>
        <v>4119364.6717828</v>
      </c>
      <c r="Z163" s="67" t="n">
        <f aca="false">IF(AND(mthbeg&lt;=A163,mthend&gt;=A163),1,0)</f>
        <v>0</v>
      </c>
      <c r="AA163" s="67" t="n">
        <f aca="false">U163*Z163</f>
        <v>0</v>
      </c>
      <c r="AC163" s="110" t="n">
        <f aca="false">F163*(H163-I163)</f>
        <v>0</v>
      </c>
      <c r="AD163" s="49"/>
      <c r="AE163" s="124"/>
    </row>
    <row r="164" customFormat="false" ht="12.75" hidden="false" customHeight="false" outlineLevel="0" collapsed="false">
      <c r="A164" s="115" t="n">
        <f aca="false">EDATE(A163,1)</f>
        <v>41944</v>
      </c>
      <c r="B164" s="116" t="n">
        <f aca="false">'Inputs-Summary'!$B$7</f>
        <v>3017157.21662952</v>
      </c>
      <c r="C164" s="57"/>
      <c r="D164" s="117" t="n">
        <f aca="false">B164+C164</f>
        <v>3017157.21662952</v>
      </c>
      <c r="E164" s="106" t="n">
        <f aca="false">IF(Z164=0,0,IF(AND(Z164=1,$H$3=1),D164*U164,IF($H$3=2,D164,"N/A")))</f>
        <v>0</v>
      </c>
      <c r="F164" s="106" t="n">
        <f aca="false">E164*Y164</f>
        <v>0</v>
      </c>
      <c r="G164" s="118" t="n">
        <f aca="false">VLOOKUP($A164,Table,MATCH(G$4,Curves,0))</f>
        <v>3</v>
      </c>
      <c r="H164" s="119" t="n">
        <f aca="false">G164+$H$7</f>
        <v>3</v>
      </c>
      <c r="I164" s="118" t="n">
        <f aca="false">'Inputs-Summary'!$B$16</f>
        <v>1.85</v>
      </c>
      <c r="J164" s="118" t="n">
        <f aca="false">VLOOKUP($A164,Table,MATCH(J$4,Curves,0))</f>
        <v>5</v>
      </c>
      <c r="K164" s="119" t="n">
        <f aca="false">J164+$K$7</f>
        <v>5</v>
      </c>
      <c r="L164" s="120" t="n">
        <f aca="false">K164</f>
        <v>5</v>
      </c>
      <c r="M164" s="118" t="n">
        <f aca="false">VLOOKUP($A164,Table,MATCH(M$4,Curves,0))</f>
        <v>5</v>
      </c>
      <c r="N164" s="119" t="n">
        <f aca="false">M164+$N$7</f>
        <v>5</v>
      </c>
      <c r="O164" s="120" t="n">
        <f aca="false">N164</f>
        <v>5</v>
      </c>
      <c r="P164" s="109"/>
      <c r="Q164" s="120" t="n">
        <f aca="false">IF($F$3=1,M164+J164+G164,J164+G164)</f>
        <v>8</v>
      </c>
      <c r="R164" s="120" t="n">
        <f aca="false">IF($F$3=1,N164+K164+H164,K164+H164)</f>
        <v>8</v>
      </c>
      <c r="S164" s="120" t="n">
        <f aca="false">IF($F$3=1,O164+L164+I164,L164+I164)</f>
        <v>6.85</v>
      </c>
      <c r="T164" s="121"/>
      <c r="U164" s="67" t="n">
        <f aca="false">A165-A164</f>
        <v>30</v>
      </c>
      <c r="V164" s="122" t="n">
        <f aca="false">CHOOSE(F$3,A165+24,A164)</f>
        <v>41944</v>
      </c>
      <c r="W164" s="67" t="n">
        <f aca="false">V164-C$3</f>
        <v>-3982</v>
      </c>
      <c r="X164" s="118" t="n">
        <f aca="false">VLOOKUP($A164,Table,MATCH(X$4,Curves,0))</f>
        <v>2</v>
      </c>
      <c r="Y164" s="123" t="n">
        <f aca="false">1/(1+CHOOSE(F$3,(X165+($K$3/10000))/2,(X164+($K$3/10000))/2))^(2*W164/365.25)</f>
        <v>3662109.93122343</v>
      </c>
      <c r="Z164" s="67" t="n">
        <f aca="false">IF(AND(mthbeg&lt;=A164,mthend&gt;=A164),1,0)</f>
        <v>0</v>
      </c>
      <c r="AA164" s="67" t="n">
        <f aca="false">U164*Z164</f>
        <v>0</v>
      </c>
      <c r="AC164" s="110" t="n">
        <f aca="false">F164*(H164-I164)</f>
        <v>0</v>
      </c>
      <c r="AD164" s="49"/>
      <c r="AE164" s="124"/>
    </row>
    <row r="165" customFormat="false" ht="12.75" hidden="false" customHeight="false" outlineLevel="0" collapsed="false">
      <c r="A165" s="115" t="n">
        <f aca="false">EDATE(A164,1)</f>
        <v>41974</v>
      </c>
      <c r="B165" s="116" t="n">
        <f aca="false">'Inputs-Summary'!$B$7</f>
        <v>3017157.21662952</v>
      </c>
      <c r="C165" s="57"/>
      <c r="D165" s="117" t="n">
        <f aca="false">B165+C165</f>
        <v>3017157.21662952</v>
      </c>
      <c r="E165" s="106" t="n">
        <f aca="false">IF(Z165=0,0,IF(AND(Z165=1,$H$3=1),D165*U165,IF($H$3=2,D165,"N/A")))</f>
        <v>0</v>
      </c>
      <c r="F165" s="106" t="n">
        <f aca="false">E165*Y165</f>
        <v>0</v>
      </c>
      <c r="G165" s="118" t="n">
        <f aca="false">VLOOKUP($A165,Table,MATCH(G$4,Curves,0))</f>
        <v>3</v>
      </c>
      <c r="H165" s="119" t="n">
        <f aca="false">G165+$H$7</f>
        <v>3</v>
      </c>
      <c r="I165" s="118" t="n">
        <f aca="false">'Inputs-Summary'!$B$16</f>
        <v>1.85</v>
      </c>
      <c r="J165" s="118" t="n">
        <f aca="false">VLOOKUP($A165,Table,MATCH(J$4,Curves,0))</f>
        <v>5</v>
      </c>
      <c r="K165" s="119" t="n">
        <f aca="false">J165+$K$7</f>
        <v>5</v>
      </c>
      <c r="L165" s="120" t="n">
        <f aca="false">K165</f>
        <v>5</v>
      </c>
      <c r="M165" s="118" t="n">
        <f aca="false">VLOOKUP($A165,Table,MATCH(M$4,Curves,0))</f>
        <v>5</v>
      </c>
      <c r="N165" s="119" t="n">
        <f aca="false">M165+$N$7</f>
        <v>5</v>
      </c>
      <c r="O165" s="120" t="n">
        <f aca="false">N165</f>
        <v>5</v>
      </c>
      <c r="P165" s="109"/>
      <c r="Q165" s="120" t="n">
        <f aca="false">IF($F$3=1,M165+J165+G165,J165+G165)</f>
        <v>8</v>
      </c>
      <c r="R165" s="120" t="n">
        <f aca="false">IF($F$3=1,N165+K165+H165,K165+H165)</f>
        <v>8</v>
      </c>
      <c r="S165" s="120" t="n">
        <f aca="false">IF($F$3=1,O165+L165+I165,L165+I165)</f>
        <v>6.85</v>
      </c>
      <c r="T165" s="121"/>
      <c r="U165" s="67" t="n">
        <f aca="false">A166-A165</f>
        <v>31</v>
      </c>
      <c r="V165" s="122" t="n">
        <f aca="false">CHOOSE(F$3,A166+24,A165)</f>
        <v>41974</v>
      </c>
      <c r="W165" s="67" t="n">
        <f aca="false">V165-C$3</f>
        <v>-3952</v>
      </c>
      <c r="X165" s="118" t="n">
        <f aca="false">VLOOKUP($A165,Table,MATCH(X$4,Curves,0))</f>
        <v>2</v>
      </c>
      <c r="Y165" s="123" t="n">
        <f aca="false">1/(1+CHOOSE(F$3,(X166+($K$3/10000))/2,(X165+($K$3/10000))/2))^(2*W165/365.25)</f>
        <v>3267991.09477634</v>
      </c>
      <c r="Z165" s="67" t="n">
        <f aca="false">IF(AND(mthbeg&lt;=A165,mthend&gt;=A165),1,0)</f>
        <v>0</v>
      </c>
      <c r="AA165" s="67" t="n">
        <f aca="false">U165*Z165</f>
        <v>0</v>
      </c>
      <c r="AC165" s="110" t="n">
        <f aca="false">F165*(H165-I165)</f>
        <v>0</v>
      </c>
      <c r="AD165" s="49"/>
      <c r="AE165" s="124"/>
    </row>
    <row r="166" customFormat="false" ht="12.75" hidden="false" customHeight="false" outlineLevel="0" collapsed="false">
      <c r="A166" s="115" t="n">
        <f aca="false">EDATE(A165,1)</f>
        <v>42005</v>
      </c>
      <c r="B166" s="116" t="n">
        <f aca="false">'Inputs-Summary'!$B$7</f>
        <v>3017157.21662952</v>
      </c>
      <c r="C166" s="57"/>
      <c r="D166" s="117" t="n">
        <f aca="false">B166+C166</f>
        <v>3017157.21662952</v>
      </c>
      <c r="E166" s="106" t="n">
        <f aca="false">IF(Z166=0,0,IF(AND(Z166=1,$H$3=1),D166*U166,IF($H$3=2,D166,"N/A")))</f>
        <v>0</v>
      </c>
      <c r="F166" s="106" t="n">
        <f aca="false">E166*Y166</f>
        <v>0</v>
      </c>
      <c r="G166" s="118" t="n">
        <f aca="false">VLOOKUP($A166,Table,MATCH(G$4,Curves,0))</f>
        <v>3</v>
      </c>
      <c r="H166" s="119" t="n">
        <f aca="false">G166+$H$7</f>
        <v>3</v>
      </c>
      <c r="I166" s="118" t="n">
        <f aca="false">'Inputs-Summary'!$B$16</f>
        <v>1.85</v>
      </c>
      <c r="J166" s="118" t="n">
        <f aca="false">VLOOKUP($A166,Table,MATCH(J$4,Curves,0))</f>
        <v>5</v>
      </c>
      <c r="K166" s="119" t="n">
        <f aca="false">J166+$K$7</f>
        <v>5</v>
      </c>
      <c r="L166" s="120" t="n">
        <f aca="false">K166</f>
        <v>5</v>
      </c>
      <c r="M166" s="118" t="n">
        <f aca="false">VLOOKUP($A166,Table,MATCH(M$4,Curves,0))</f>
        <v>5</v>
      </c>
      <c r="N166" s="119" t="n">
        <f aca="false">M166+$N$7</f>
        <v>5</v>
      </c>
      <c r="O166" s="120" t="n">
        <f aca="false">N166</f>
        <v>5</v>
      </c>
      <c r="P166" s="109"/>
      <c r="Q166" s="120" t="n">
        <f aca="false">IF($F$3=1,M166+J166+G166,J166+G166)</f>
        <v>8</v>
      </c>
      <c r="R166" s="120" t="n">
        <f aca="false">IF($F$3=1,N166+K166+H166,K166+H166)</f>
        <v>8</v>
      </c>
      <c r="S166" s="120" t="n">
        <f aca="false">IF($F$3=1,O166+L166+I166,L166+I166)</f>
        <v>6.85</v>
      </c>
      <c r="T166" s="121"/>
      <c r="U166" s="67" t="n">
        <f aca="false">A167-A166</f>
        <v>31</v>
      </c>
      <c r="V166" s="122" t="n">
        <f aca="false">CHOOSE(F$3,A167+24,A166)</f>
        <v>42005</v>
      </c>
      <c r="W166" s="67" t="n">
        <f aca="false">V166-C$3</f>
        <v>-3921</v>
      </c>
      <c r="X166" s="118" t="n">
        <f aca="false">VLOOKUP($A166,Table,MATCH(X$4,Curves,0))</f>
        <v>2</v>
      </c>
      <c r="Y166" s="123" t="n">
        <f aca="false">1/(1+CHOOSE(F$3,(X167+($K$3/10000))/2,(X166+($K$3/10000))/2))^(2*W166/365.25)</f>
        <v>2905239.90879173</v>
      </c>
      <c r="Z166" s="67" t="n">
        <f aca="false">IF(AND(mthbeg&lt;=A166,mthend&gt;=A166),1,0)</f>
        <v>0</v>
      </c>
      <c r="AA166" s="67" t="n">
        <f aca="false">U166*Z166</f>
        <v>0</v>
      </c>
      <c r="AC166" s="110" t="n">
        <f aca="false">F166*(H166-I166)</f>
        <v>0</v>
      </c>
      <c r="AD166" s="49"/>
      <c r="AE166" s="124"/>
    </row>
    <row r="167" customFormat="false" ht="12.75" hidden="false" customHeight="false" outlineLevel="0" collapsed="false">
      <c r="A167" s="115" t="n">
        <f aca="false">EDATE(A166,1)</f>
        <v>42036</v>
      </c>
      <c r="B167" s="116" t="n">
        <f aca="false">'Inputs-Summary'!$B$7</f>
        <v>3017157.21662952</v>
      </c>
      <c r="C167" s="57"/>
      <c r="D167" s="117" t="n">
        <f aca="false">B167+C167</f>
        <v>3017157.21662952</v>
      </c>
      <c r="E167" s="106" t="n">
        <f aca="false">IF(Z167=0,0,IF(AND(Z167=1,$H$3=1),D167*U167,IF($H$3=2,D167,"N/A")))</f>
        <v>0</v>
      </c>
      <c r="F167" s="106" t="n">
        <f aca="false">E167*Y167</f>
        <v>0</v>
      </c>
      <c r="G167" s="118" t="n">
        <f aca="false">VLOOKUP($A167,Table,MATCH(G$4,Curves,0))</f>
        <v>3</v>
      </c>
      <c r="H167" s="119" t="n">
        <f aca="false">G167+$H$7</f>
        <v>3</v>
      </c>
      <c r="I167" s="118" t="n">
        <f aca="false">'Inputs-Summary'!$B$16</f>
        <v>1.85</v>
      </c>
      <c r="J167" s="118" t="n">
        <f aca="false">VLOOKUP($A167,Table,MATCH(J$4,Curves,0))</f>
        <v>5</v>
      </c>
      <c r="K167" s="119" t="n">
        <f aca="false">J167+$K$7</f>
        <v>5</v>
      </c>
      <c r="L167" s="120" t="n">
        <f aca="false">K167</f>
        <v>5</v>
      </c>
      <c r="M167" s="118" t="n">
        <f aca="false">VLOOKUP($A167,Table,MATCH(M$4,Curves,0))</f>
        <v>5</v>
      </c>
      <c r="N167" s="119" t="n">
        <f aca="false">M167+$N$7</f>
        <v>5</v>
      </c>
      <c r="O167" s="120" t="n">
        <f aca="false">N167</f>
        <v>5</v>
      </c>
      <c r="P167" s="109"/>
      <c r="Q167" s="120" t="n">
        <f aca="false">IF($F$3=1,M167+J167+G167,J167+G167)</f>
        <v>8</v>
      </c>
      <c r="R167" s="120" t="n">
        <f aca="false">IF($F$3=1,N167+K167+H167,K167+H167)</f>
        <v>8</v>
      </c>
      <c r="S167" s="120" t="n">
        <f aca="false">IF($F$3=1,O167+L167+I167,L167+I167)</f>
        <v>6.85</v>
      </c>
      <c r="T167" s="121"/>
      <c r="U167" s="67" t="n">
        <f aca="false">A168-A167</f>
        <v>28</v>
      </c>
      <c r="V167" s="122" t="n">
        <f aca="false">CHOOSE(F$3,A168+24,A167)</f>
        <v>42036</v>
      </c>
      <c r="W167" s="67" t="n">
        <f aca="false">V167-C$3</f>
        <v>-3890</v>
      </c>
      <c r="X167" s="118" t="n">
        <f aca="false">VLOOKUP($A167,Table,MATCH(X$4,Curves,0))</f>
        <v>2</v>
      </c>
      <c r="Y167" s="123" t="n">
        <f aca="false">1/(1+CHOOSE(F$3,(X168+($K$3/10000))/2,(X167+($K$3/10000))/2))^(2*W167/365.25)</f>
        <v>2582754.56782231</v>
      </c>
      <c r="Z167" s="67" t="n">
        <f aca="false">IF(AND(mthbeg&lt;=A167,mthend&gt;=A167),1,0)</f>
        <v>0</v>
      </c>
      <c r="AA167" s="67" t="n">
        <f aca="false">U167*Z167</f>
        <v>0</v>
      </c>
      <c r="AC167" s="110" t="n">
        <f aca="false">F167*(H167-I167)</f>
        <v>0</v>
      </c>
      <c r="AD167" s="49"/>
      <c r="AE167" s="124"/>
    </row>
    <row r="168" customFormat="false" ht="12.75" hidden="false" customHeight="false" outlineLevel="0" collapsed="false">
      <c r="A168" s="115" t="n">
        <f aca="false">EDATE(A167,1)</f>
        <v>42064</v>
      </c>
      <c r="B168" s="116" t="n">
        <f aca="false">'Inputs-Summary'!$B$7</f>
        <v>3017157.21662952</v>
      </c>
      <c r="C168" s="57"/>
      <c r="D168" s="117" t="n">
        <f aca="false">B168+C168</f>
        <v>3017157.21662952</v>
      </c>
      <c r="E168" s="106" t="n">
        <f aca="false">IF(Z168=0,0,IF(AND(Z168=1,$H$3=1),D168*U168,IF($H$3=2,D168,"N/A")))</f>
        <v>0</v>
      </c>
      <c r="F168" s="106" t="n">
        <f aca="false">E168*Y168</f>
        <v>0</v>
      </c>
      <c r="G168" s="118" t="n">
        <f aca="false">VLOOKUP($A168,Table,MATCH(G$4,Curves,0))</f>
        <v>3</v>
      </c>
      <c r="H168" s="119" t="n">
        <f aca="false">G168+$H$7</f>
        <v>3</v>
      </c>
      <c r="I168" s="118" t="n">
        <f aca="false">'Inputs-Summary'!$B$16</f>
        <v>1.85</v>
      </c>
      <c r="J168" s="118" t="n">
        <f aca="false">VLOOKUP($A168,Table,MATCH(J$4,Curves,0))</f>
        <v>5</v>
      </c>
      <c r="K168" s="119" t="n">
        <f aca="false">J168+$K$7</f>
        <v>5</v>
      </c>
      <c r="L168" s="120" t="n">
        <f aca="false">K168</f>
        <v>5</v>
      </c>
      <c r="M168" s="118" t="n">
        <f aca="false">VLOOKUP($A168,Table,MATCH(M$4,Curves,0))</f>
        <v>5</v>
      </c>
      <c r="N168" s="119" t="n">
        <f aca="false">M168+$N$7</f>
        <v>5</v>
      </c>
      <c r="O168" s="120" t="n">
        <f aca="false">N168</f>
        <v>5</v>
      </c>
      <c r="P168" s="109"/>
      <c r="Q168" s="120" t="n">
        <f aca="false">IF($F$3=1,M168+J168+G168,J168+G168)</f>
        <v>8</v>
      </c>
      <c r="R168" s="120" t="n">
        <f aca="false">IF($F$3=1,N168+K168+H168,K168+H168)</f>
        <v>8</v>
      </c>
      <c r="S168" s="120" t="n">
        <f aca="false">IF($F$3=1,O168+L168+I168,L168+I168)</f>
        <v>6.85</v>
      </c>
      <c r="T168" s="121"/>
      <c r="U168" s="67" t="n">
        <f aca="false">A169-A168</f>
        <v>31</v>
      </c>
      <c r="V168" s="122" t="n">
        <f aca="false">CHOOSE(F$3,A169+24,A168)</f>
        <v>42064</v>
      </c>
      <c r="W168" s="67" t="n">
        <f aca="false">V168-C$3</f>
        <v>-3862</v>
      </c>
      <c r="X168" s="118" t="n">
        <f aca="false">VLOOKUP($A168,Table,MATCH(X$4,Curves,0))</f>
        <v>2</v>
      </c>
      <c r="Y168" s="123" t="n">
        <f aca="false">1/(1+CHOOSE(F$3,(X169+($K$3/10000))/2,(X168+($K$3/10000))/2))^(2*W168/365.25)</f>
        <v>2322358.84415772</v>
      </c>
      <c r="Z168" s="67" t="n">
        <f aca="false">IF(AND(mthbeg&lt;=A168,mthend&gt;=A168),1,0)</f>
        <v>0</v>
      </c>
      <c r="AA168" s="67" t="n">
        <f aca="false">U168*Z168</f>
        <v>0</v>
      </c>
      <c r="AC168" s="110" t="n">
        <f aca="false">F168*(H168-I168)</f>
        <v>0</v>
      </c>
      <c r="AD168" s="49"/>
      <c r="AE168" s="124"/>
    </row>
    <row r="169" customFormat="false" ht="12.75" hidden="false" customHeight="false" outlineLevel="0" collapsed="false">
      <c r="A169" s="115" t="n">
        <f aca="false">EDATE(A168,1)</f>
        <v>42095</v>
      </c>
      <c r="B169" s="116" t="n">
        <f aca="false">'Inputs-Summary'!$B$7</f>
        <v>3017157.21662952</v>
      </c>
      <c r="C169" s="57"/>
      <c r="D169" s="117" t="n">
        <f aca="false">B169+C169</f>
        <v>3017157.21662952</v>
      </c>
      <c r="E169" s="106" t="n">
        <f aca="false">IF(Z169=0,0,IF(AND(Z169=1,$H$3=1),D169*U169,IF($H$3=2,D169,"N/A")))</f>
        <v>0</v>
      </c>
      <c r="F169" s="106" t="n">
        <f aca="false">E169*Y169</f>
        <v>0</v>
      </c>
      <c r="G169" s="118" t="n">
        <f aca="false">VLOOKUP($A169,Table,MATCH(G$4,Curves,0))</f>
        <v>3</v>
      </c>
      <c r="H169" s="119" t="n">
        <f aca="false">G169+$H$7</f>
        <v>3</v>
      </c>
      <c r="I169" s="118" t="n">
        <f aca="false">'Inputs-Summary'!$B$16</f>
        <v>1.85</v>
      </c>
      <c r="J169" s="118" t="n">
        <f aca="false">VLOOKUP($A169,Table,MATCH(J$4,Curves,0))</f>
        <v>5</v>
      </c>
      <c r="K169" s="119" t="n">
        <f aca="false">J169+$K$7</f>
        <v>5</v>
      </c>
      <c r="L169" s="120" t="n">
        <f aca="false">K169</f>
        <v>5</v>
      </c>
      <c r="M169" s="118" t="n">
        <f aca="false">VLOOKUP($A169,Table,MATCH(M$4,Curves,0))</f>
        <v>5</v>
      </c>
      <c r="N169" s="119" t="n">
        <f aca="false">M169+$N$7</f>
        <v>5</v>
      </c>
      <c r="O169" s="120" t="n">
        <f aca="false">N169</f>
        <v>5</v>
      </c>
      <c r="P169" s="109"/>
      <c r="Q169" s="120" t="n">
        <f aca="false">IF($F$3=1,M169+J169+G169,J169+G169)</f>
        <v>8</v>
      </c>
      <c r="R169" s="120" t="n">
        <f aca="false">IF($F$3=1,N169+K169+H169,K169+H169)</f>
        <v>8</v>
      </c>
      <c r="S169" s="120" t="n">
        <f aca="false">IF($F$3=1,O169+L169+I169,L169+I169)</f>
        <v>6.85</v>
      </c>
      <c r="T169" s="121"/>
      <c r="U169" s="67" t="n">
        <f aca="false">A170-A169</f>
        <v>30</v>
      </c>
      <c r="V169" s="122" t="n">
        <f aca="false">CHOOSE(F$3,A170+24,A169)</f>
        <v>42095</v>
      </c>
      <c r="W169" s="67" t="n">
        <f aca="false">V169-C$3</f>
        <v>-3831</v>
      </c>
      <c r="X169" s="118" t="n">
        <f aca="false">VLOOKUP($A169,Table,MATCH(X$4,Curves,0))</f>
        <v>2</v>
      </c>
      <c r="Y169" s="123" t="n">
        <f aca="false">1/(1+CHOOSE(F$3,(X170+($K$3/10000))/2,(X169+($K$3/10000))/2))^(2*W169/365.25)</f>
        <v>2064574.04592292</v>
      </c>
      <c r="Z169" s="67" t="n">
        <f aca="false">IF(AND(mthbeg&lt;=A169,mthend&gt;=A169),1,0)</f>
        <v>0</v>
      </c>
      <c r="AA169" s="67" t="n">
        <f aca="false">U169*Z169</f>
        <v>0</v>
      </c>
      <c r="AC169" s="110" t="n">
        <f aca="false">F169*(H169-I169)</f>
        <v>0</v>
      </c>
      <c r="AD169" s="49"/>
      <c r="AE169" s="124"/>
    </row>
    <row r="170" customFormat="false" ht="12" hidden="false" customHeight="true" outlineLevel="0" collapsed="false">
      <c r="A170" s="115" t="n">
        <f aca="false">EDATE(A169,1)</f>
        <v>42125</v>
      </c>
      <c r="B170" s="116" t="n">
        <f aca="false">'Inputs-Summary'!$B$7</f>
        <v>3017157.21662952</v>
      </c>
      <c r="C170" s="57"/>
      <c r="D170" s="117" t="n">
        <f aca="false">B170+C170</f>
        <v>3017157.21662952</v>
      </c>
      <c r="E170" s="106" t="n">
        <f aca="false">IF(Z170=0,0,IF(AND(Z170=1,$H$3=1),D170*U170,IF($H$3=2,D170,"N/A")))</f>
        <v>0</v>
      </c>
      <c r="F170" s="106" t="n">
        <f aca="false">E170*Y170</f>
        <v>0</v>
      </c>
      <c r="G170" s="118" t="n">
        <f aca="false">VLOOKUP($A170,Table,MATCH(G$4,Curves,0))</f>
        <v>3</v>
      </c>
      <c r="H170" s="119" t="n">
        <f aca="false">G170+$H$7</f>
        <v>3</v>
      </c>
      <c r="I170" s="118" t="n">
        <f aca="false">'Inputs-Summary'!$B$16</f>
        <v>1.85</v>
      </c>
      <c r="J170" s="118" t="n">
        <f aca="false">VLOOKUP($A170,Table,MATCH(J$4,Curves,0))</f>
        <v>5</v>
      </c>
      <c r="K170" s="119" t="n">
        <f aca="false">J170+$K$7</f>
        <v>5</v>
      </c>
      <c r="L170" s="120" t="n">
        <f aca="false">K170</f>
        <v>5</v>
      </c>
      <c r="M170" s="118" t="n">
        <f aca="false">VLOOKUP($A170,Table,MATCH(M$4,Curves,0))</f>
        <v>5</v>
      </c>
      <c r="N170" s="119" t="n">
        <f aca="false">M170+$N$7</f>
        <v>5</v>
      </c>
      <c r="O170" s="120" t="n">
        <f aca="false">N170</f>
        <v>5</v>
      </c>
      <c r="P170" s="109"/>
      <c r="Q170" s="120" t="n">
        <f aca="false">IF($F$3=1,M170+J170+G170,J170+G170)</f>
        <v>8</v>
      </c>
      <c r="R170" s="120" t="n">
        <f aca="false">IF($F$3=1,N170+K170+H170,K170+H170)</f>
        <v>8</v>
      </c>
      <c r="S170" s="120" t="n">
        <f aca="false">IF($F$3=1,O170+L170+I170,L170+I170)</f>
        <v>6.85</v>
      </c>
      <c r="T170" s="121"/>
      <c r="U170" s="67" t="n">
        <f aca="false">A171-A170</f>
        <v>31</v>
      </c>
      <c r="V170" s="122" t="n">
        <f aca="false">CHOOSE(F$3,A171+24,A170)</f>
        <v>42125</v>
      </c>
      <c r="W170" s="67" t="n">
        <f aca="false">V170-C$3</f>
        <v>-3801</v>
      </c>
      <c r="X170" s="118" t="n">
        <f aca="false">VLOOKUP($A170,Table,MATCH(X$4,Curves,0))</f>
        <v>2</v>
      </c>
      <c r="Y170" s="123" t="n">
        <f aca="false">1/(1+CHOOSE(F$3,(X171+($K$3/10000))/2,(X170+($K$3/10000))/2))^(2*W170/365.25)</f>
        <v>1842383.14067443</v>
      </c>
      <c r="Z170" s="67" t="n">
        <f aca="false">IF(AND(mthbeg&lt;=A170,mthend&gt;=A170),1,0)</f>
        <v>0</v>
      </c>
      <c r="AA170" s="67" t="n">
        <f aca="false">U170*Z170</f>
        <v>0</v>
      </c>
      <c r="AC170" s="110" t="n">
        <f aca="false">F170*(H170-I170)</f>
        <v>0</v>
      </c>
      <c r="AD170" s="49"/>
      <c r="AE170" s="124"/>
    </row>
    <row r="171" customFormat="false" ht="12" hidden="false" customHeight="true" outlineLevel="0" collapsed="false">
      <c r="A171" s="115" t="n">
        <f aca="false">EDATE(A170,1)</f>
        <v>42156</v>
      </c>
      <c r="B171" s="116" t="n">
        <f aca="false">'Inputs-Summary'!$B$7</f>
        <v>3017157.21662952</v>
      </c>
      <c r="C171" s="57"/>
      <c r="D171" s="117" t="n">
        <f aca="false">B171+C171</f>
        <v>3017157.21662952</v>
      </c>
      <c r="E171" s="106" t="n">
        <f aca="false">IF(Z171=0,0,IF(AND(Z171=1,$H$3=1),D171*U171,IF($H$3=2,D171,"N/A")))</f>
        <v>0</v>
      </c>
      <c r="F171" s="106" t="n">
        <f aca="false">E171*Y171</f>
        <v>0</v>
      </c>
      <c r="G171" s="118" t="n">
        <f aca="false">VLOOKUP($A171,Table,MATCH(G$4,Curves,0))</f>
        <v>3</v>
      </c>
      <c r="H171" s="119" t="n">
        <f aca="false">G171+$H$7</f>
        <v>3</v>
      </c>
      <c r="I171" s="118" t="n">
        <f aca="false">'Inputs-Summary'!$B$16</f>
        <v>1.85</v>
      </c>
      <c r="J171" s="118" t="n">
        <f aca="false">VLOOKUP($A171,Table,MATCH(J$4,Curves,0))</f>
        <v>5</v>
      </c>
      <c r="K171" s="119" t="n">
        <f aca="false">J171+$K$7</f>
        <v>5</v>
      </c>
      <c r="L171" s="120" t="n">
        <f aca="false">K171</f>
        <v>5</v>
      </c>
      <c r="M171" s="118" t="n">
        <f aca="false">VLOOKUP($A171,Table,MATCH(M$4,Curves,0))</f>
        <v>5</v>
      </c>
      <c r="N171" s="119" t="n">
        <f aca="false">M171+$N$7</f>
        <v>5</v>
      </c>
      <c r="O171" s="120" t="n">
        <f aca="false">N171</f>
        <v>5</v>
      </c>
      <c r="P171" s="109"/>
      <c r="Q171" s="120" t="n">
        <f aca="false">IF($F$3=1,M171+J171+G171,J171+G171)</f>
        <v>8</v>
      </c>
      <c r="R171" s="120" t="n">
        <f aca="false">IF($F$3=1,N171+K171+H171,K171+H171)</f>
        <v>8</v>
      </c>
      <c r="S171" s="120" t="n">
        <f aca="false">IF($F$3=1,O171+L171+I171,L171+I171)</f>
        <v>6.85</v>
      </c>
      <c r="T171" s="121"/>
      <c r="U171" s="67" t="n">
        <f aca="false">A172-A171</f>
        <v>30</v>
      </c>
      <c r="V171" s="122" t="n">
        <f aca="false">CHOOSE(F$3,A172+24,A171)</f>
        <v>42156</v>
      </c>
      <c r="W171" s="67" t="n">
        <f aca="false">V171-C$3</f>
        <v>-3770</v>
      </c>
      <c r="X171" s="118" t="n">
        <f aca="false">VLOOKUP($A171,Table,MATCH(X$4,Curves,0))</f>
        <v>2</v>
      </c>
      <c r="Y171" s="123" t="n">
        <f aca="false">1/(1+CHOOSE(F$3,(X172+($K$3/10000))/2,(X171+($K$3/10000))/2))^(2*W171/365.25)</f>
        <v>1637876.25863734</v>
      </c>
      <c r="Z171" s="67" t="n">
        <f aca="false">IF(AND(mthbeg&lt;=A171,mthend&gt;=A171),1,0)</f>
        <v>0</v>
      </c>
      <c r="AA171" s="67" t="n">
        <f aca="false">U171*Z171</f>
        <v>0</v>
      </c>
      <c r="AC171" s="110" t="n">
        <f aca="false">F171*(H171-I171)</f>
        <v>0</v>
      </c>
      <c r="AD171" s="49"/>
      <c r="AE171" s="124"/>
    </row>
    <row r="172" customFormat="false" ht="12" hidden="false" customHeight="true" outlineLevel="0" collapsed="false">
      <c r="A172" s="115" t="n">
        <f aca="false">EDATE(A171,1)</f>
        <v>42186</v>
      </c>
      <c r="B172" s="116" t="n">
        <f aca="false">'Inputs-Summary'!$B$7</f>
        <v>3017157.21662952</v>
      </c>
      <c r="C172" s="57"/>
      <c r="D172" s="117" t="n">
        <f aca="false">B172+C172</f>
        <v>3017157.21662952</v>
      </c>
      <c r="E172" s="106" t="n">
        <f aca="false">IF(Z172=0,0,IF(AND(Z172=1,$H$3=1),D172*U172,IF($H$3=2,D172,"N/A")))</f>
        <v>0</v>
      </c>
      <c r="F172" s="106" t="n">
        <f aca="false">E172*Y172</f>
        <v>0</v>
      </c>
      <c r="G172" s="118" t="n">
        <f aca="false">VLOOKUP($A172,Table,MATCH(G$4,Curves,0))</f>
        <v>3</v>
      </c>
      <c r="H172" s="119" t="n">
        <f aca="false">G172+$H$7</f>
        <v>3</v>
      </c>
      <c r="I172" s="118" t="n">
        <f aca="false">'Inputs-Summary'!$B$16</f>
        <v>1.85</v>
      </c>
      <c r="J172" s="118" t="n">
        <f aca="false">VLOOKUP($A172,Table,MATCH(J$4,Curves,0))</f>
        <v>5</v>
      </c>
      <c r="K172" s="119" t="n">
        <f aca="false">J172+$K$7</f>
        <v>5</v>
      </c>
      <c r="L172" s="120" t="n">
        <f aca="false">K172</f>
        <v>5</v>
      </c>
      <c r="M172" s="118" t="n">
        <f aca="false">VLOOKUP($A172,Table,MATCH(M$4,Curves,0))</f>
        <v>5</v>
      </c>
      <c r="N172" s="119" t="n">
        <f aca="false">M172+$N$7</f>
        <v>5</v>
      </c>
      <c r="O172" s="120" t="n">
        <f aca="false">N172</f>
        <v>5</v>
      </c>
      <c r="P172" s="109"/>
      <c r="Q172" s="120" t="n">
        <f aca="false">IF($F$3=1,M172+J172+G172,J172+G172)</f>
        <v>8</v>
      </c>
      <c r="R172" s="120" t="n">
        <f aca="false">IF($F$3=1,N172+K172+H172,K172+H172)</f>
        <v>8</v>
      </c>
      <c r="S172" s="120" t="n">
        <f aca="false">IF($F$3=1,O172+L172+I172,L172+I172)</f>
        <v>6.85</v>
      </c>
      <c r="T172" s="121"/>
      <c r="U172" s="67" t="n">
        <f aca="false">A173-A172</f>
        <v>31</v>
      </c>
      <c r="V172" s="122" t="n">
        <f aca="false">CHOOSE(F$3,A173+24,A172)</f>
        <v>42186</v>
      </c>
      <c r="W172" s="67" t="n">
        <f aca="false">V172-C$3</f>
        <v>-3740</v>
      </c>
      <c r="X172" s="118" t="n">
        <f aca="false">VLOOKUP($A172,Table,MATCH(X$4,Curves,0))</f>
        <v>2</v>
      </c>
      <c r="Y172" s="123" t="n">
        <f aca="false">1/(1+CHOOSE(F$3,(X173+($K$3/10000))/2,(X172+($K$3/10000))/2))^(2*W172/365.25)</f>
        <v>1461606.86819804</v>
      </c>
      <c r="Z172" s="67" t="n">
        <f aca="false">IF(AND(mthbeg&lt;=A172,mthend&gt;=A172),1,0)</f>
        <v>0</v>
      </c>
      <c r="AA172" s="67" t="n">
        <f aca="false">U172*Z172</f>
        <v>0</v>
      </c>
      <c r="AC172" s="110" t="n">
        <f aca="false">F172*(H172-I172)</f>
        <v>0</v>
      </c>
      <c r="AD172" s="49"/>
      <c r="AE172" s="124"/>
    </row>
    <row r="173" customFormat="false" ht="12" hidden="false" customHeight="true" outlineLevel="0" collapsed="false">
      <c r="A173" s="115" t="n">
        <f aca="false">EDATE(A172,1)</f>
        <v>42217</v>
      </c>
      <c r="B173" s="116" t="n">
        <f aca="false">'Inputs-Summary'!$B$7</f>
        <v>3017157.21662952</v>
      </c>
      <c r="C173" s="57"/>
      <c r="D173" s="117" t="n">
        <f aca="false">B173+C173</f>
        <v>3017157.21662952</v>
      </c>
      <c r="E173" s="106" t="n">
        <f aca="false">IF(Z173=0,0,IF(AND(Z173=1,$H$3=1),D173*U173,IF($H$3=2,D173,"N/A")))</f>
        <v>0</v>
      </c>
      <c r="F173" s="106" t="n">
        <f aca="false">E173*Y173</f>
        <v>0</v>
      </c>
      <c r="G173" s="118" t="n">
        <f aca="false">VLOOKUP($A173,Table,MATCH(G$4,Curves,0))</f>
        <v>3</v>
      </c>
      <c r="H173" s="119" t="n">
        <f aca="false">G173+$H$7</f>
        <v>3</v>
      </c>
      <c r="I173" s="118" t="n">
        <f aca="false">'Inputs-Summary'!$B$16</f>
        <v>1.85</v>
      </c>
      <c r="J173" s="118" t="n">
        <f aca="false">VLOOKUP($A173,Table,MATCH(J$4,Curves,0))</f>
        <v>5</v>
      </c>
      <c r="K173" s="119" t="n">
        <f aca="false">J173+$K$7</f>
        <v>5</v>
      </c>
      <c r="L173" s="120" t="n">
        <f aca="false">K173</f>
        <v>5</v>
      </c>
      <c r="M173" s="118" t="n">
        <f aca="false">VLOOKUP($A173,Table,MATCH(M$4,Curves,0))</f>
        <v>5</v>
      </c>
      <c r="N173" s="119" t="n">
        <f aca="false">M173+$N$7</f>
        <v>5</v>
      </c>
      <c r="O173" s="120" t="n">
        <f aca="false">N173</f>
        <v>5</v>
      </c>
      <c r="P173" s="109"/>
      <c r="Q173" s="120" t="n">
        <f aca="false">IF($F$3=1,M173+J173+G173,J173+G173)</f>
        <v>8</v>
      </c>
      <c r="R173" s="120" t="n">
        <f aca="false">IF($F$3=1,N173+K173+H173,K173+H173)</f>
        <v>8</v>
      </c>
      <c r="S173" s="120" t="n">
        <f aca="false">IF($F$3=1,O173+L173+I173,L173+I173)</f>
        <v>6.85</v>
      </c>
      <c r="T173" s="121"/>
      <c r="U173" s="67" t="n">
        <f aca="false">A174-A173</f>
        <v>31</v>
      </c>
      <c r="V173" s="122" t="n">
        <f aca="false">CHOOSE(F$3,A174+24,A173)</f>
        <v>42217</v>
      </c>
      <c r="W173" s="67" t="n">
        <f aca="false">V173-C$3</f>
        <v>-3709</v>
      </c>
      <c r="X173" s="118" t="n">
        <f aca="false">VLOOKUP($A173,Table,MATCH(X$4,Curves,0))</f>
        <v>2</v>
      </c>
      <c r="Y173" s="123" t="n">
        <f aca="false">1/(1+CHOOSE(F$3,(X174+($K$3/10000))/2,(X173+($K$3/10000))/2))^(2*W173/365.25)</f>
        <v>1299366.63880159</v>
      </c>
      <c r="Z173" s="67" t="n">
        <f aca="false">IF(AND(mthbeg&lt;=A173,mthend&gt;=A173),1,0)</f>
        <v>0</v>
      </c>
      <c r="AA173" s="67" t="n">
        <f aca="false">U173*Z173</f>
        <v>0</v>
      </c>
      <c r="AC173" s="110" t="n">
        <f aca="false">F173*(H173-I173)</f>
        <v>0</v>
      </c>
      <c r="AD173" s="49"/>
      <c r="AE173" s="124"/>
    </row>
    <row r="174" customFormat="false" ht="12" hidden="false" customHeight="true" outlineLevel="0" collapsed="false">
      <c r="A174" s="115" t="n">
        <f aca="false">EDATE(A173,1)</f>
        <v>42248</v>
      </c>
      <c r="B174" s="116" t="n">
        <f aca="false">'Inputs-Summary'!$B$7</f>
        <v>3017157.21662952</v>
      </c>
      <c r="C174" s="57"/>
      <c r="D174" s="117" t="n">
        <f aca="false">B174+C174</f>
        <v>3017157.21662952</v>
      </c>
      <c r="E174" s="106" t="n">
        <f aca="false">IF(Z174=0,0,IF(AND(Z174=1,$H$3=1),D174*U174,IF($H$3=2,D174,"N/A")))</f>
        <v>0</v>
      </c>
      <c r="F174" s="106" t="n">
        <f aca="false">E174*Y174</f>
        <v>0</v>
      </c>
      <c r="G174" s="118" t="n">
        <f aca="false">VLOOKUP($A174,Table,MATCH(G$4,Curves,0))</f>
        <v>3</v>
      </c>
      <c r="H174" s="119" t="n">
        <f aca="false">G174+$H$7</f>
        <v>3</v>
      </c>
      <c r="I174" s="118" t="n">
        <f aca="false">'Inputs-Summary'!$B$16</f>
        <v>1.85</v>
      </c>
      <c r="J174" s="118" t="n">
        <f aca="false">VLOOKUP($A174,Table,MATCH(J$4,Curves,0))</f>
        <v>5</v>
      </c>
      <c r="K174" s="119" t="n">
        <f aca="false">J174+$K$7</f>
        <v>5</v>
      </c>
      <c r="L174" s="120" t="n">
        <f aca="false">K174</f>
        <v>5</v>
      </c>
      <c r="M174" s="118" t="n">
        <f aca="false">VLOOKUP($A174,Table,MATCH(M$4,Curves,0))</f>
        <v>5</v>
      </c>
      <c r="N174" s="119" t="n">
        <f aca="false">M174+$N$7</f>
        <v>5</v>
      </c>
      <c r="O174" s="120" t="n">
        <f aca="false">N174</f>
        <v>5</v>
      </c>
      <c r="P174" s="109"/>
      <c r="Q174" s="120" t="n">
        <f aca="false">IF($F$3=1,M174+J174+G174,J174+G174)</f>
        <v>8</v>
      </c>
      <c r="R174" s="120" t="n">
        <f aca="false">IF($F$3=1,N174+K174+H174,K174+H174)</f>
        <v>8</v>
      </c>
      <c r="S174" s="120" t="n">
        <f aca="false">IF($F$3=1,O174+L174+I174,L174+I174)</f>
        <v>6.85</v>
      </c>
      <c r="T174" s="121"/>
      <c r="U174" s="67" t="n">
        <f aca="false">A175-A174</f>
        <v>30</v>
      </c>
      <c r="V174" s="122" t="n">
        <f aca="false">CHOOSE(F$3,A175+24,A174)</f>
        <v>42248</v>
      </c>
      <c r="W174" s="67" t="n">
        <f aca="false">V174-C$3</f>
        <v>-3678</v>
      </c>
      <c r="X174" s="118" t="n">
        <f aca="false">VLOOKUP($A174,Table,MATCH(X$4,Curves,0))</f>
        <v>2</v>
      </c>
      <c r="Y174" s="123" t="n">
        <f aca="false">1/(1+CHOOSE(F$3,(X175+($K$3/10000))/2,(X174+($K$3/10000))/2))^(2*W174/365.25)</f>
        <v>1155135.28211046</v>
      </c>
      <c r="Z174" s="67" t="n">
        <f aca="false">IF(AND(mthbeg&lt;=A174,mthend&gt;=A174),1,0)</f>
        <v>0</v>
      </c>
      <c r="AA174" s="67" t="n">
        <f aca="false">U174*Z174</f>
        <v>0</v>
      </c>
      <c r="AC174" s="110" t="n">
        <f aca="false">F174*(H174-I174)</f>
        <v>0</v>
      </c>
      <c r="AD174" s="49"/>
      <c r="AE174" s="124"/>
    </row>
    <row r="175" customFormat="false" ht="12" hidden="false" customHeight="true" outlineLevel="0" collapsed="false">
      <c r="A175" s="115" t="n">
        <f aca="false">EDATE(A174,1)</f>
        <v>42278</v>
      </c>
      <c r="B175" s="116" t="n">
        <f aca="false">'Inputs-Summary'!$B$7</f>
        <v>3017157.21662952</v>
      </c>
      <c r="C175" s="57"/>
      <c r="D175" s="117" t="n">
        <f aca="false">B175+C175</f>
        <v>3017157.21662952</v>
      </c>
      <c r="E175" s="106" t="n">
        <f aca="false">IF(Z175=0,0,IF(AND(Z175=1,$H$3=1),D175*U175,IF($H$3=2,D175,"N/A")))</f>
        <v>0</v>
      </c>
      <c r="F175" s="106" t="n">
        <f aca="false">E175*Y175</f>
        <v>0</v>
      </c>
      <c r="G175" s="118" t="n">
        <f aca="false">VLOOKUP($A175,Table,MATCH(G$4,Curves,0))</f>
        <v>3</v>
      </c>
      <c r="H175" s="119" t="n">
        <f aca="false">G175+$H$7</f>
        <v>3</v>
      </c>
      <c r="I175" s="118" t="n">
        <f aca="false">'Inputs-Summary'!$B$16</f>
        <v>1.85</v>
      </c>
      <c r="J175" s="118" t="n">
        <f aca="false">VLOOKUP($A175,Table,MATCH(J$4,Curves,0))</f>
        <v>5</v>
      </c>
      <c r="K175" s="119" t="n">
        <f aca="false">J175+$K$7</f>
        <v>5</v>
      </c>
      <c r="L175" s="120" t="n">
        <f aca="false">K175</f>
        <v>5</v>
      </c>
      <c r="M175" s="118" t="n">
        <f aca="false">VLOOKUP($A175,Table,MATCH(M$4,Curves,0))</f>
        <v>5</v>
      </c>
      <c r="N175" s="119" t="n">
        <f aca="false">M175+$N$7</f>
        <v>5</v>
      </c>
      <c r="O175" s="120" t="n">
        <f aca="false">N175</f>
        <v>5</v>
      </c>
      <c r="P175" s="109"/>
      <c r="Q175" s="120" t="n">
        <f aca="false">IF($F$3=1,M175+J175+G175,J175+G175)</f>
        <v>8</v>
      </c>
      <c r="R175" s="120" t="n">
        <f aca="false">IF($F$3=1,N175+K175+H175,K175+H175)</f>
        <v>8</v>
      </c>
      <c r="S175" s="120" t="n">
        <f aca="false">IF($F$3=1,O175+L175+I175,L175+I175)</f>
        <v>6.85</v>
      </c>
      <c r="T175" s="121"/>
      <c r="U175" s="67" t="n">
        <f aca="false">A176-A175</f>
        <v>31</v>
      </c>
      <c r="V175" s="122" t="n">
        <f aca="false">CHOOSE(F$3,A176+24,A175)</f>
        <v>42278</v>
      </c>
      <c r="W175" s="67" t="n">
        <f aca="false">V175-C$3</f>
        <v>-3648</v>
      </c>
      <c r="X175" s="118" t="n">
        <f aca="false">VLOOKUP($A175,Table,MATCH(X$4,Curves,0))</f>
        <v>2</v>
      </c>
      <c r="Y175" s="123" t="n">
        <f aca="false">1/(1+CHOOSE(F$3,(X176+($K$3/10000))/2,(X175+($K$3/10000))/2))^(2*W175/365.25)</f>
        <v>1030818.81376997</v>
      </c>
      <c r="Z175" s="67" t="n">
        <f aca="false">IF(AND(mthbeg&lt;=A175,mthend&gt;=A175),1,0)</f>
        <v>0</v>
      </c>
      <c r="AA175" s="67" t="n">
        <f aca="false">U175*Z175</f>
        <v>0</v>
      </c>
      <c r="AC175" s="110" t="n">
        <f aca="false">F175*(H175-I175)</f>
        <v>0</v>
      </c>
      <c r="AD175" s="49"/>
      <c r="AE175" s="124"/>
    </row>
    <row r="176" customFormat="false" ht="12" hidden="false" customHeight="true" outlineLevel="0" collapsed="false">
      <c r="A176" s="115" t="n">
        <f aca="false">EDATE(A175,1)</f>
        <v>42309</v>
      </c>
      <c r="B176" s="116" t="n">
        <f aca="false">'Inputs-Summary'!$B$7</f>
        <v>3017157.21662952</v>
      </c>
      <c r="C176" s="57"/>
      <c r="D176" s="117" t="n">
        <f aca="false">B176+C176</f>
        <v>3017157.21662952</v>
      </c>
      <c r="E176" s="106" t="n">
        <f aca="false">IF(Z176=0,0,IF(AND(Z176=1,$H$3=1),D176*U176,IF($H$3=2,D176,"N/A")))</f>
        <v>0</v>
      </c>
      <c r="F176" s="106" t="n">
        <f aca="false">E176*Y176</f>
        <v>0</v>
      </c>
      <c r="G176" s="118" t="n">
        <f aca="false">VLOOKUP($A176,Table,MATCH(G$4,Curves,0))</f>
        <v>3</v>
      </c>
      <c r="H176" s="119" t="n">
        <f aca="false">G176+$H$7</f>
        <v>3</v>
      </c>
      <c r="I176" s="118" t="n">
        <f aca="false">'Inputs-Summary'!$B$16</f>
        <v>1.85</v>
      </c>
      <c r="J176" s="118" t="n">
        <f aca="false">VLOOKUP($A176,Table,MATCH(J$4,Curves,0))</f>
        <v>5</v>
      </c>
      <c r="K176" s="119" t="n">
        <f aca="false">J176+$K$7</f>
        <v>5</v>
      </c>
      <c r="L176" s="120" t="n">
        <f aca="false">K176</f>
        <v>5</v>
      </c>
      <c r="M176" s="118" t="n">
        <f aca="false">VLOOKUP($A176,Table,MATCH(M$4,Curves,0))</f>
        <v>5</v>
      </c>
      <c r="N176" s="119" t="n">
        <f aca="false">M176+$N$7</f>
        <v>5</v>
      </c>
      <c r="O176" s="120" t="n">
        <f aca="false">N176</f>
        <v>5</v>
      </c>
      <c r="P176" s="109"/>
      <c r="Q176" s="120" t="n">
        <f aca="false">IF($F$3=1,M176+J176+G176,J176+G176)</f>
        <v>8</v>
      </c>
      <c r="R176" s="120" t="n">
        <f aca="false">IF($F$3=1,N176+K176+H176,K176+H176)</f>
        <v>8</v>
      </c>
      <c r="S176" s="120" t="n">
        <f aca="false">IF($F$3=1,O176+L176+I176,L176+I176)</f>
        <v>6.85</v>
      </c>
      <c r="T176" s="121"/>
      <c r="U176" s="67" t="n">
        <f aca="false">A177-A176</f>
        <v>30</v>
      </c>
      <c r="V176" s="122" t="n">
        <f aca="false">CHOOSE(F$3,A177+24,A176)</f>
        <v>42309</v>
      </c>
      <c r="W176" s="67" t="n">
        <f aca="false">V176-C$3</f>
        <v>-3617</v>
      </c>
      <c r="X176" s="118" t="n">
        <f aca="false">VLOOKUP($A176,Table,MATCH(X$4,Curves,0))</f>
        <v>2</v>
      </c>
      <c r="Y176" s="123" t="n">
        <f aca="false">1/(1+CHOOSE(F$3,(X177+($K$3/10000))/2,(X176+($K$3/10000))/2))^(2*W176/365.25)</f>
        <v>916396.608694806</v>
      </c>
      <c r="Z176" s="67" t="n">
        <f aca="false">IF(AND(mthbeg&lt;=A176,mthend&gt;=A176),1,0)</f>
        <v>0</v>
      </c>
      <c r="AA176" s="67" t="n">
        <f aca="false">U176*Z176</f>
        <v>0</v>
      </c>
      <c r="AC176" s="110" t="n">
        <f aca="false">F176*(H176-I176)</f>
        <v>0</v>
      </c>
      <c r="AD176" s="49"/>
      <c r="AE176" s="124"/>
    </row>
    <row r="177" customFormat="false" ht="12" hidden="false" customHeight="true" outlineLevel="0" collapsed="false">
      <c r="A177" s="115" t="n">
        <f aca="false">EDATE(A176,1)</f>
        <v>42339</v>
      </c>
      <c r="B177" s="116" t="n">
        <f aca="false">'Inputs-Summary'!$B$7</f>
        <v>3017157.21662952</v>
      </c>
      <c r="C177" s="57"/>
      <c r="D177" s="117" t="n">
        <f aca="false">B177+C177</f>
        <v>3017157.21662952</v>
      </c>
      <c r="E177" s="106" t="n">
        <f aca="false">IF(Z177=0,0,IF(AND(Z177=1,$H$3=1),D177*U177,IF($H$3=2,D177,"N/A")))</f>
        <v>0</v>
      </c>
      <c r="F177" s="106" t="n">
        <f aca="false">E177*Y177</f>
        <v>0</v>
      </c>
      <c r="G177" s="118" t="n">
        <f aca="false">VLOOKUP($A177,Table,MATCH(G$4,Curves,0))</f>
        <v>3</v>
      </c>
      <c r="H177" s="119" t="n">
        <f aca="false">G177+$H$7</f>
        <v>3</v>
      </c>
      <c r="I177" s="118" t="n">
        <f aca="false">'Inputs-Summary'!$B$16</f>
        <v>1.85</v>
      </c>
      <c r="J177" s="118" t="n">
        <f aca="false">VLOOKUP($A177,Table,MATCH(J$4,Curves,0))</f>
        <v>5</v>
      </c>
      <c r="K177" s="119" t="n">
        <f aca="false">J177+$K$7</f>
        <v>5</v>
      </c>
      <c r="L177" s="120" t="n">
        <f aca="false">K177</f>
        <v>5</v>
      </c>
      <c r="M177" s="118" t="n">
        <f aca="false">VLOOKUP($A177,Table,MATCH(M$4,Curves,0))</f>
        <v>5</v>
      </c>
      <c r="N177" s="119" t="n">
        <f aca="false">M177+$N$7</f>
        <v>5</v>
      </c>
      <c r="O177" s="120" t="n">
        <f aca="false">N177</f>
        <v>5</v>
      </c>
      <c r="P177" s="109"/>
      <c r="Q177" s="120" t="n">
        <f aca="false">IF($F$3=1,M177+J177+G177,J177+G177)</f>
        <v>8</v>
      </c>
      <c r="R177" s="120" t="n">
        <f aca="false">IF($F$3=1,N177+K177+H177,K177+H177)</f>
        <v>8</v>
      </c>
      <c r="S177" s="120" t="n">
        <f aca="false">IF($F$3=1,O177+L177+I177,L177+I177)</f>
        <v>6.85</v>
      </c>
      <c r="T177" s="121"/>
      <c r="U177" s="67" t="n">
        <f aca="false">A178-A177</f>
        <v>31</v>
      </c>
      <c r="V177" s="122" t="n">
        <f aca="false">CHOOSE(F$3,A178+24,A177)</f>
        <v>42339</v>
      </c>
      <c r="W177" s="67" t="n">
        <f aca="false">V177-C$3</f>
        <v>-3587</v>
      </c>
      <c r="X177" s="118" t="n">
        <f aca="false">VLOOKUP($A177,Table,MATCH(X$4,Curves,0))</f>
        <v>2</v>
      </c>
      <c r="Y177" s="123" t="n">
        <f aca="false">1/(1+CHOOSE(F$3,(X178+($K$3/10000))/2,(X177+($K$3/10000))/2))^(2*W177/365.25)</f>
        <v>817773.36364596</v>
      </c>
      <c r="Z177" s="67" t="n">
        <f aca="false">IF(AND(mthbeg&lt;=A177,mthend&gt;=A177),1,0)</f>
        <v>0</v>
      </c>
      <c r="AA177" s="67" t="n">
        <f aca="false">U177*Z177</f>
        <v>0</v>
      </c>
      <c r="AC177" s="110" t="n">
        <f aca="false">F177*(H177-I177)</f>
        <v>0</v>
      </c>
      <c r="AD177" s="49"/>
      <c r="AE177" s="124"/>
    </row>
    <row r="178" customFormat="false" ht="12" hidden="false" customHeight="true" outlineLevel="0" collapsed="false">
      <c r="A178" s="115" t="n">
        <f aca="false">EDATE(A177,1)</f>
        <v>42370</v>
      </c>
      <c r="B178" s="116" t="n">
        <f aca="false">'Inputs-Summary'!$B$7</f>
        <v>3017157.21662952</v>
      </c>
      <c r="C178" s="57"/>
      <c r="D178" s="117" t="n">
        <f aca="false">B178+C178</f>
        <v>3017157.21662952</v>
      </c>
      <c r="E178" s="106" t="n">
        <f aca="false">IF(Z178=0,0,IF(AND(Z178=1,$H$3=1),D178*U178,IF($H$3=2,D178,"N/A")))</f>
        <v>0</v>
      </c>
      <c r="F178" s="106" t="n">
        <f aca="false">E178*Y178</f>
        <v>0</v>
      </c>
      <c r="G178" s="118" t="n">
        <f aca="false">VLOOKUP($A178,Table,MATCH(G$4,Curves,0))</f>
        <v>3</v>
      </c>
      <c r="H178" s="119" t="n">
        <f aca="false">G178+$H$7</f>
        <v>3</v>
      </c>
      <c r="I178" s="118" t="n">
        <f aca="false">'Inputs-Summary'!$B$16</f>
        <v>1.85</v>
      </c>
      <c r="J178" s="118" t="n">
        <f aca="false">VLOOKUP($A178,Table,MATCH(J$4,Curves,0))</f>
        <v>5</v>
      </c>
      <c r="K178" s="119" t="n">
        <f aca="false">J178+$K$7</f>
        <v>5</v>
      </c>
      <c r="L178" s="120" t="n">
        <f aca="false">K178</f>
        <v>5</v>
      </c>
      <c r="M178" s="118" t="n">
        <f aca="false">VLOOKUP($A178,Table,MATCH(M$4,Curves,0))</f>
        <v>5</v>
      </c>
      <c r="N178" s="119" t="n">
        <f aca="false">M178+$N$7</f>
        <v>5</v>
      </c>
      <c r="O178" s="120" t="n">
        <f aca="false">N178</f>
        <v>5</v>
      </c>
      <c r="P178" s="109"/>
      <c r="Q178" s="120" t="n">
        <f aca="false">IF($F$3=1,M178+J178+G178,J178+G178)</f>
        <v>8</v>
      </c>
      <c r="R178" s="120" t="n">
        <f aca="false">IF($F$3=1,N178+K178+H178,K178+H178)</f>
        <v>8</v>
      </c>
      <c r="S178" s="120" t="n">
        <f aca="false">IF($F$3=1,O178+L178+I178,L178+I178)</f>
        <v>6.85</v>
      </c>
      <c r="T178" s="121"/>
      <c r="U178" s="67" t="n">
        <f aca="false">A179-A178</f>
        <v>31</v>
      </c>
      <c r="V178" s="122" t="n">
        <f aca="false">CHOOSE(F$3,A179+24,A178)</f>
        <v>42370</v>
      </c>
      <c r="W178" s="67" t="n">
        <f aca="false">V178-C$3</f>
        <v>-3556</v>
      </c>
      <c r="X178" s="118" t="n">
        <f aca="false">VLOOKUP($A178,Table,MATCH(X$4,Curves,0))</f>
        <v>2</v>
      </c>
      <c r="Y178" s="123" t="n">
        <f aca="false">1/(1+CHOOSE(F$3,(X179+($K$3/10000))/2,(X178+($K$3/10000))/2))^(2*W178/365.25)</f>
        <v>726999.475674429</v>
      </c>
      <c r="Z178" s="67" t="n">
        <f aca="false">IF(AND(mthbeg&lt;=A178,mthend&gt;=A178),1,0)</f>
        <v>0</v>
      </c>
      <c r="AA178" s="67" t="n">
        <f aca="false">U178*Z178</f>
        <v>0</v>
      </c>
      <c r="AC178" s="110" t="n">
        <f aca="false">F178*(H178-I178)</f>
        <v>0</v>
      </c>
      <c r="AD178" s="49"/>
      <c r="AE178" s="124"/>
    </row>
    <row r="179" customFormat="false" ht="12" hidden="false" customHeight="true" outlineLevel="0" collapsed="false">
      <c r="A179" s="115" t="n">
        <f aca="false">EDATE(A178,1)</f>
        <v>42401</v>
      </c>
      <c r="B179" s="116" t="n">
        <f aca="false">'Inputs-Summary'!$B$7</f>
        <v>3017157.21662952</v>
      </c>
      <c r="C179" s="57"/>
      <c r="D179" s="117" t="n">
        <f aca="false">B179+C179</f>
        <v>3017157.21662952</v>
      </c>
      <c r="E179" s="106" t="n">
        <f aca="false">IF(Z179=0,0,IF(AND(Z179=1,$H$3=1),D179*U179,IF($H$3=2,D179,"N/A")))</f>
        <v>0</v>
      </c>
      <c r="F179" s="106" t="n">
        <f aca="false">E179*Y179</f>
        <v>0</v>
      </c>
      <c r="G179" s="118" t="n">
        <f aca="false">VLOOKUP($A179,Table,MATCH(G$4,Curves,0))</f>
        <v>3</v>
      </c>
      <c r="H179" s="119" t="n">
        <f aca="false">G179+$H$7</f>
        <v>3</v>
      </c>
      <c r="I179" s="118" t="n">
        <f aca="false">'Inputs-Summary'!$B$16</f>
        <v>1.85</v>
      </c>
      <c r="J179" s="118" t="n">
        <f aca="false">VLOOKUP($A179,Table,MATCH(J$4,Curves,0))</f>
        <v>5</v>
      </c>
      <c r="K179" s="119" t="n">
        <f aca="false">J179+$K$7</f>
        <v>5</v>
      </c>
      <c r="L179" s="120" t="n">
        <f aca="false">K179</f>
        <v>5</v>
      </c>
      <c r="M179" s="118" t="n">
        <f aca="false">VLOOKUP($A179,Table,MATCH(M$4,Curves,0))</f>
        <v>5</v>
      </c>
      <c r="N179" s="119" t="n">
        <f aca="false">M179+$N$7</f>
        <v>5</v>
      </c>
      <c r="O179" s="120" t="n">
        <f aca="false">N179</f>
        <v>5</v>
      </c>
      <c r="P179" s="109"/>
      <c r="Q179" s="120" t="n">
        <f aca="false">IF($F$3=1,M179+J179+G179,J179+G179)</f>
        <v>8</v>
      </c>
      <c r="R179" s="120" t="n">
        <f aca="false">IF($F$3=1,N179+K179+H179,K179+H179)</f>
        <v>8</v>
      </c>
      <c r="S179" s="120" t="n">
        <f aca="false">IF($F$3=1,O179+L179+I179,L179+I179)</f>
        <v>6.85</v>
      </c>
      <c r="T179" s="121"/>
      <c r="U179" s="67" t="n">
        <f aca="false">A180-A179</f>
        <v>29</v>
      </c>
      <c r="V179" s="122" t="n">
        <f aca="false">CHOOSE(F$3,A180+24,A179)</f>
        <v>42401</v>
      </c>
      <c r="W179" s="67" t="n">
        <f aca="false">V179-C$3</f>
        <v>-3525</v>
      </c>
      <c r="X179" s="118" t="n">
        <f aca="false">VLOOKUP($A179,Table,MATCH(X$4,Curves,0))</f>
        <v>2</v>
      </c>
      <c r="Y179" s="123" t="n">
        <f aca="false">1/(1+CHOOSE(F$3,(X180+($K$3/10000))/2,(X179+($K$3/10000))/2))^(2*W179/365.25)</f>
        <v>646301.60522043</v>
      </c>
      <c r="Z179" s="67" t="n">
        <f aca="false">IF(AND(mthbeg&lt;=A179,mthend&gt;=A179),1,0)</f>
        <v>0</v>
      </c>
      <c r="AA179" s="67" t="n">
        <f aca="false">U179*Z179</f>
        <v>0</v>
      </c>
      <c r="AC179" s="110" t="n">
        <f aca="false">F179*(H179-I179)</f>
        <v>0</v>
      </c>
      <c r="AD179" s="49"/>
      <c r="AE179" s="124"/>
    </row>
    <row r="180" customFormat="false" ht="12" hidden="false" customHeight="true" outlineLevel="0" collapsed="false">
      <c r="A180" s="115" t="n">
        <f aca="false">EDATE(A179,1)</f>
        <v>42430</v>
      </c>
      <c r="B180" s="116" t="n">
        <f aca="false">'Inputs-Summary'!$B$7</f>
        <v>3017157.21662952</v>
      </c>
      <c r="C180" s="57"/>
      <c r="D180" s="117" t="n">
        <f aca="false">B180+C180</f>
        <v>3017157.21662952</v>
      </c>
      <c r="E180" s="106" t="n">
        <f aca="false">IF(Z180=0,0,IF(AND(Z180=1,$H$3=1),D180*U180,IF($H$3=2,D180,"N/A")))</f>
        <v>0</v>
      </c>
      <c r="F180" s="106" t="n">
        <f aca="false">E180*Y180</f>
        <v>0</v>
      </c>
      <c r="G180" s="118" t="n">
        <f aca="false">VLOOKUP($A180,Table,MATCH(G$4,Curves,0))</f>
        <v>3</v>
      </c>
      <c r="H180" s="119" t="n">
        <f aca="false">G180+$H$7</f>
        <v>3</v>
      </c>
      <c r="I180" s="118" t="n">
        <f aca="false">'Inputs-Summary'!$B$16</f>
        <v>1.85</v>
      </c>
      <c r="J180" s="118" t="n">
        <f aca="false">VLOOKUP($A180,Table,MATCH(J$4,Curves,0))</f>
        <v>5</v>
      </c>
      <c r="K180" s="119" t="n">
        <f aca="false">J180+$K$7</f>
        <v>5</v>
      </c>
      <c r="L180" s="120" t="n">
        <f aca="false">K180</f>
        <v>5</v>
      </c>
      <c r="M180" s="118" t="n">
        <f aca="false">VLOOKUP($A180,Table,MATCH(M$4,Curves,0))</f>
        <v>5</v>
      </c>
      <c r="N180" s="119" t="n">
        <f aca="false">M180+$N$7</f>
        <v>5</v>
      </c>
      <c r="O180" s="120" t="n">
        <f aca="false">N180</f>
        <v>5</v>
      </c>
      <c r="P180" s="109"/>
      <c r="Q180" s="120" t="n">
        <f aca="false">IF($F$3=1,M180+J180+G180,J180+G180)</f>
        <v>8</v>
      </c>
      <c r="R180" s="120" t="n">
        <f aca="false">IF($F$3=1,N180+K180+H180,K180+H180)</f>
        <v>8</v>
      </c>
      <c r="S180" s="120" t="n">
        <f aca="false">IF($F$3=1,O180+L180+I180,L180+I180)</f>
        <v>6.85</v>
      </c>
      <c r="T180" s="121"/>
      <c r="U180" s="67" t="n">
        <f aca="false">A181-A180</f>
        <v>31</v>
      </c>
      <c r="V180" s="122" t="n">
        <f aca="false">CHOOSE(F$3,A181+24,A180)</f>
        <v>42430</v>
      </c>
      <c r="W180" s="67" t="n">
        <f aca="false">V180-C$3</f>
        <v>-3496</v>
      </c>
      <c r="X180" s="118" t="n">
        <f aca="false">VLOOKUP($A180,Table,MATCH(X$4,Curves,0))</f>
        <v>2</v>
      </c>
      <c r="Y180" s="123" t="n">
        <f aca="false">1/(1+CHOOSE(F$3,(X181+($K$3/10000))/2,(X180+($K$3/10000))/2))^(2*W180/365.25)</f>
        <v>578939.354243425</v>
      </c>
      <c r="Z180" s="67" t="n">
        <f aca="false">IF(AND(mthbeg&lt;=A180,mthend&gt;=A180),1,0)</f>
        <v>0</v>
      </c>
      <c r="AA180" s="67" t="n">
        <f aca="false">U180*Z180</f>
        <v>0</v>
      </c>
      <c r="AC180" s="110" t="n">
        <f aca="false">F180*(H180-I180)</f>
        <v>0</v>
      </c>
      <c r="AD180" s="49"/>
      <c r="AE180" s="124"/>
    </row>
    <row r="181" customFormat="false" ht="12" hidden="false" customHeight="true" outlineLevel="0" collapsed="false">
      <c r="A181" s="115" t="n">
        <f aca="false">EDATE(A180,1)</f>
        <v>42461</v>
      </c>
      <c r="B181" s="116" t="n">
        <f aca="false">'Inputs-Summary'!$B$7</f>
        <v>3017157.21662952</v>
      </c>
      <c r="C181" s="57"/>
      <c r="D181" s="117" t="n">
        <f aca="false">B181+C181</f>
        <v>3017157.21662952</v>
      </c>
      <c r="E181" s="106" t="n">
        <f aca="false">IF(Z181=0,0,IF(AND(Z181=1,$H$3=1),D181*U181,IF($H$3=2,D181,"N/A")))</f>
        <v>0</v>
      </c>
      <c r="F181" s="106" t="n">
        <f aca="false">E181*Y181</f>
        <v>0</v>
      </c>
      <c r="G181" s="118" t="n">
        <f aca="false">VLOOKUP($A181,Table,MATCH(G$4,Curves,0))</f>
        <v>3</v>
      </c>
      <c r="H181" s="119" t="n">
        <f aca="false">G181+$H$7</f>
        <v>3</v>
      </c>
      <c r="I181" s="118" t="n">
        <f aca="false">'Inputs-Summary'!$B$16</f>
        <v>1.85</v>
      </c>
      <c r="J181" s="118" t="n">
        <f aca="false">VLOOKUP($A181,Table,MATCH(J$4,Curves,0))</f>
        <v>5</v>
      </c>
      <c r="K181" s="119" t="n">
        <f aca="false">J181+$K$7</f>
        <v>5</v>
      </c>
      <c r="L181" s="120" t="n">
        <f aca="false">K181</f>
        <v>5</v>
      </c>
      <c r="M181" s="118" t="n">
        <f aca="false">VLOOKUP($A181,Table,MATCH(M$4,Curves,0))</f>
        <v>5</v>
      </c>
      <c r="N181" s="119" t="n">
        <f aca="false">M181+$N$7</f>
        <v>5</v>
      </c>
      <c r="O181" s="120" t="n">
        <f aca="false">N181</f>
        <v>5</v>
      </c>
      <c r="P181" s="109"/>
      <c r="Q181" s="120" t="n">
        <f aca="false">IF($F$3=1,M181+J181+G181,J181+G181)</f>
        <v>8</v>
      </c>
      <c r="R181" s="120" t="n">
        <f aca="false">IF($F$3=1,N181+K181+H181,K181+H181)</f>
        <v>8</v>
      </c>
      <c r="S181" s="120" t="n">
        <f aca="false">IF($F$3=1,O181+L181+I181,L181+I181)</f>
        <v>6.85</v>
      </c>
      <c r="T181" s="121"/>
      <c r="U181" s="67" t="n">
        <f aca="false">A182-A181</f>
        <v>30</v>
      </c>
      <c r="V181" s="122" t="n">
        <f aca="false">CHOOSE(F$3,A182+24,A181)</f>
        <v>42461</v>
      </c>
      <c r="W181" s="67" t="n">
        <f aca="false">V181-C$3</f>
        <v>-3465</v>
      </c>
      <c r="X181" s="118" t="n">
        <f aca="false">VLOOKUP($A181,Table,MATCH(X$4,Curves,0))</f>
        <v>2</v>
      </c>
      <c r="Y181" s="123" t="n">
        <f aca="false">1/(1+CHOOSE(F$3,(X182+($K$3/10000))/2,(X181+($K$3/10000))/2))^(2*W181/365.25)</f>
        <v>514676.346397213</v>
      </c>
      <c r="Z181" s="67" t="n">
        <f aca="false">IF(AND(mthbeg&lt;=A181,mthend&gt;=A181),1,0)</f>
        <v>0</v>
      </c>
      <c r="AA181" s="67" t="n">
        <f aca="false">U181*Z181</f>
        <v>0</v>
      </c>
      <c r="AC181" s="110" t="n">
        <f aca="false">F181*(H181-I181)</f>
        <v>0</v>
      </c>
      <c r="AD181" s="49"/>
      <c r="AE181" s="124"/>
    </row>
    <row r="182" customFormat="false" ht="12" hidden="false" customHeight="true" outlineLevel="0" collapsed="false">
      <c r="A182" s="115" t="n">
        <f aca="false">EDATE(A181,1)</f>
        <v>42491</v>
      </c>
      <c r="B182" s="116" t="n">
        <f aca="false">'Inputs-Summary'!$B$7</f>
        <v>3017157.21662952</v>
      </c>
      <c r="C182" s="57"/>
      <c r="D182" s="117" t="n">
        <f aca="false">B182+C182</f>
        <v>3017157.21662952</v>
      </c>
      <c r="E182" s="106" t="n">
        <f aca="false">IF(Z182=0,0,IF(AND(Z182=1,$H$3=1),D182*U182,IF($H$3=2,D182,"N/A")))</f>
        <v>0</v>
      </c>
      <c r="F182" s="106" t="n">
        <f aca="false">E182*Y182</f>
        <v>0</v>
      </c>
      <c r="G182" s="118" t="n">
        <f aca="false">VLOOKUP($A182,Table,MATCH(G$4,Curves,0))</f>
        <v>3</v>
      </c>
      <c r="H182" s="119" t="n">
        <f aca="false">G182+$H$7</f>
        <v>3</v>
      </c>
      <c r="I182" s="118" t="n">
        <f aca="false">'Inputs-Summary'!$B$16</f>
        <v>1.85</v>
      </c>
      <c r="J182" s="118" t="n">
        <f aca="false">VLOOKUP($A182,Table,MATCH(J$4,Curves,0))</f>
        <v>5</v>
      </c>
      <c r="K182" s="119" t="n">
        <f aca="false">J182+$K$7</f>
        <v>5</v>
      </c>
      <c r="L182" s="120" t="n">
        <f aca="false">K182</f>
        <v>5</v>
      </c>
      <c r="M182" s="118" t="n">
        <f aca="false">VLOOKUP($A182,Table,MATCH(M$4,Curves,0))</f>
        <v>5</v>
      </c>
      <c r="N182" s="119" t="n">
        <f aca="false">M182+$N$7</f>
        <v>5</v>
      </c>
      <c r="O182" s="120" t="n">
        <f aca="false">N182</f>
        <v>5</v>
      </c>
      <c r="P182" s="109"/>
      <c r="Q182" s="120" t="n">
        <f aca="false">IF($F$3=1,M182+J182+G182,J182+G182)</f>
        <v>8</v>
      </c>
      <c r="R182" s="120" t="n">
        <f aca="false">IF($F$3=1,N182+K182+H182,K182+H182)</f>
        <v>8</v>
      </c>
      <c r="S182" s="120" t="n">
        <f aca="false">IF($F$3=1,O182+L182+I182,L182+I182)</f>
        <v>6.85</v>
      </c>
      <c r="T182" s="121"/>
      <c r="U182" s="67" t="n">
        <f aca="false">A183-A182</f>
        <v>31</v>
      </c>
      <c r="V182" s="122" t="n">
        <f aca="false">CHOOSE(F$3,A183+24,A182)</f>
        <v>42491</v>
      </c>
      <c r="W182" s="67" t="n">
        <f aca="false">V182-C$3</f>
        <v>-3435</v>
      </c>
      <c r="X182" s="118" t="n">
        <f aca="false">VLOOKUP($A182,Table,MATCH(X$4,Curves,0))</f>
        <v>2</v>
      </c>
      <c r="Y182" s="123" t="n">
        <f aca="false">1/(1+CHOOSE(F$3,(X183+($K$3/10000))/2,(X182+($K$3/10000))/2))^(2*W182/365.25)</f>
        <v>459286.517419265</v>
      </c>
      <c r="Z182" s="67" t="n">
        <f aca="false">IF(AND(mthbeg&lt;=A182,mthend&gt;=A182),1,0)</f>
        <v>0</v>
      </c>
      <c r="AA182" s="67" t="n">
        <f aca="false">U182*Z182</f>
        <v>0</v>
      </c>
      <c r="AC182" s="110" t="n">
        <f aca="false">F182*(H182-I182)</f>
        <v>0</v>
      </c>
      <c r="AD182" s="49"/>
      <c r="AE182" s="124"/>
    </row>
    <row r="183" customFormat="false" ht="12" hidden="false" customHeight="true" outlineLevel="0" collapsed="false">
      <c r="A183" s="115" t="n">
        <f aca="false">EDATE(A182,1)</f>
        <v>42522</v>
      </c>
      <c r="B183" s="116" t="n">
        <f aca="false">'Inputs-Summary'!$B$7</f>
        <v>3017157.21662952</v>
      </c>
      <c r="C183" s="57"/>
      <c r="D183" s="117" t="n">
        <f aca="false">B183+C183</f>
        <v>3017157.21662952</v>
      </c>
      <c r="E183" s="106" t="n">
        <f aca="false">IF(Z183=0,0,IF(AND(Z183=1,$H$3=1),D183*U183,IF($H$3=2,D183,"N/A")))</f>
        <v>0</v>
      </c>
      <c r="F183" s="106" t="n">
        <f aca="false">E183*Y183</f>
        <v>0</v>
      </c>
      <c r="G183" s="118" t="n">
        <f aca="false">VLOOKUP($A183,Table,MATCH(G$4,Curves,0))</f>
        <v>3</v>
      </c>
      <c r="H183" s="119" t="n">
        <f aca="false">G183+$H$7</f>
        <v>3</v>
      </c>
      <c r="I183" s="118" t="n">
        <f aca="false">'Inputs-Summary'!$B$16</f>
        <v>1.85</v>
      </c>
      <c r="J183" s="118" t="n">
        <f aca="false">VLOOKUP($A183,Table,MATCH(J$4,Curves,0))</f>
        <v>5</v>
      </c>
      <c r="K183" s="119" t="n">
        <f aca="false">J183+$K$7</f>
        <v>5</v>
      </c>
      <c r="L183" s="120" t="n">
        <f aca="false">K183</f>
        <v>5</v>
      </c>
      <c r="M183" s="118" t="n">
        <f aca="false">VLOOKUP($A183,Table,MATCH(M$4,Curves,0))</f>
        <v>5</v>
      </c>
      <c r="N183" s="119" t="n">
        <f aca="false">M183+$N$7</f>
        <v>5</v>
      </c>
      <c r="O183" s="120" t="n">
        <f aca="false">N183</f>
        <v>5</v>
      </c>
      <c r="P183" s="109"/>
      <c r="Q183" s="120" t="n">
        <f aca="false">IF($F$3=1,M183+J183+G183,J183+G183)</f>
        <v>8</v>
      </c>
      <c r="R183" s="120" t="n">
        <f aca="false">IF($F$3=1,N183+K183+H183,K183+H183)</f>
        <v>8</v>
      </c>
      <c r="S183" s="120" t="n">
        <f aca="false">IF($F$3=1,O183+L183+I183,L183+I183)</f>
        <v>6.85</v>
      </c>
      <c r="T183" s="121"/>
      <c r="U183" s="67" t="n">
        <f aca="false">A184-A183</f>
        <v>30</v>
      </c>
      <c r="V183" s="122" t="n">
        <f aca="false">CHOOSE(F$3,A184+24,A183)</f>
        <v>42522</v>
      </c>
      <c r="W183" s="67" t="n">
        <f aca="false">V183-C$3</f>
        <v>-3404</v>
      </c>
      <c r="X183" s="118" t="n">
        <f aca="false">VLOOKUP($A183,Table,MATCH(X$4,Curves,0))</f>
        <v>2</v>
      </c>
      <c r="Y183" s="123" t="n">
        <f aca="false">1/(1+CHOOSE(F$3,(X184+($K$3/10000))/2,(X183+($K$3/10000))/2))^(2*W183/365.25)</f>
        <v>408305.127302601</v>
      </c>
      <c r="Z183" s="67" t="n">
        <f aca="false">IF(AND(mthbeg&lt;=A183,mthend&gt;=A183),1,0)</f>
        <v>0</v>
      </c>
      <c r="AA183" s="67" t="n">
        <f aca="false">U183*Z183</f>
        <v>0</v>
      </c>
      <c r="AC183" s="110" t="n">
        <f aca="false">F183*(H183-I183)</f>
        <v>0</v>
      </c>
      <c r="AD183" s="49"/>
      <c r="AE183" s="124"/>
    </row>
    <row r="184" customFormat="false" ht="12" hidden="false" customHeight="true" outlineLevel="0" collapsed="false">
      <c r="A184" s="115" t="n">
        <f aca="false">EDATE(A183,1)</f>
        <v>42552</v>
      </c>
      <c r="B184" s="116" t="n">
        <f aca="false">'Inputs-Summary'!$B$7</f>
        <v>3017157.21662952</v>
      </c>
      <c r="C184" s="57"/>
      <c r="D184" s="117" t="n">
        <f aca="false">B184+C184</f>
        <v>3017157.21662952</v>
      </c>
      <c r="E184" s="106" t="n">
        <f aca="false">IF(Z184=0,0,IF(AND(Z184=1,$H$3=1),D184*U184,IF($H$3=2,D184,"N/A")))</f>
        <v>0</v>
      </c>
      <c r="F184" s="106" t="n">
        <f aca="false">E184*Y184</f>
        <v>0</v>
      </c>
      <c r="G184" s="118" t="n">
        <f aca="false">VLOOKUP($A184,Table,MATCH(G$4,Curves,0))</f>
        <v>3</v>
      </c>
      <c r="H184" s="119" t="n">
        <f aca="false">G184+$H$7</f>
        <v>3</v>
      </c>
      <c r="I184" s="118" t="n">
        <f aca="false">'Inputs-Summary'!$B$16</f>
        <v>1.85</v>
      </c>
      <c r="J184" s="118" t="n">
        <f aca="false">VLOOKUP($A184,Table,MATCH(J$4,Curves,0))</f>
        <v>5</v>
      </c>
      <c r="K184" s="119" t="n">
        <f aca="false">J184+$K$7</f>
        <v>5</v>
      </c>
      <c r="L184" s="120" t="n">
        <f aca="false">K184</f>
        <v>5</v>
      </c>
      <c r="M184" s="118" t="n">
        <f aca="false">VLOOKUP($A184,Table,MATCH(M$4,Curves,0))</f>
        <v>5</v>
      </c>
      <c r="N184" s="119" t="n">
        <f aca="false">M184+$N$7</f>
        <v>5</v>
      </c>
      <c r="O184" s="120" t="n">
        <f aca="false">N184</f>
        <v>5</v>
      </c>
      <c r="P184" s="109"/>
      <c r="Q184" s="120" t="n">
        <f aca="false">IF($F$3=1,M184+J184+G184,J184+G184)</f>
        <v>8</v>
      </c>
      <c r="R184" s="120" t="n">
        <f aca="false">IF($F$3=1,N184+K184+H184,K184+H184)</f>
        <v>8</v>
      </c>
      <c r="S184" s="120" t="n">
        <f aca="false">IF($F$3=1,O184+L184+I184,L184+I184)</f>
        <v>6.85</v>
      </c>
      <c r="T184" s="121"/>
      <c r="U184" s="67" t="n">
        <f aca="false">A185-A184</f>
        <v>31</v>
      </c>
      <c r="V184" s="122" t="n">
        <f aca="false">CHOOSE(F$3,A185+24,A184)</f>
        <v>42552</v>
      </c>
      <c r="W184" s="67" t="n">
        <f aca="false">V184-C$3</f>
        <v>-3374</v>
      </c>
      <c r="X184" s="118" t="n">
        <f aca="false">VLOOKUP($A184,Table,MATCH(X$4,Curves,0))</f>
        <v>2</v>
      </c>
      <c r="Y184" s="123" t="n">
        <f aca="false">1/(1+CHOOSE(F$3,(X185+($K$3/10000))/2,(X184+($K$3/10000))/2))^(2*W184/365.25)</f>
        <v>364363.043446554</v>
      </c>
      <c r="Z184" s="67" t="n">
        <f aca="false">IF(AND(mthbeg&lt;=A184,mthend&gt;=A184),1,0)</f>
        <v>0</v>
      </c>
      <c r="AA184" s="67" t="n">
        <f aca="false">U184*Z184</f>
        <v>0</v>
      </c>
      <c r="AC184" s="110" t="n">
        <f aca="false">F184*(H184-I184)</f>
        <v>0</v>
      </c>
      <c r="AD184" s="49"/>
      <c r="AE184" s="124"/>
    </row>
    <row r="185" customFormat="false" ht="12" hidden="false" customHeight="true" outlineLevel="0" collapsed="false">
      <c r="A185" s="115" t="n">
        <f aca="false">EDATE(A184,1)</f>
        <v>42583</v>
      </c>
      <c r="B185" s="116" t="n">
        <f aca="false">'Inputs-Summary'!$B$7</f>
        <v>3017157.21662952</v>
      </c>
      <c r="C185" s="57"/>
      <c r="D185" s="117" t="n">
        <f aca="false">B185+C185</f>
        <v>3017157.21662952</v>
      </c>
      <c r="E185" s="106" t="n">
        <f aca="false">IF(Z185=0,0,IF(AND(Z185=1,$H$3=1),D185*U185,IF($H$3=2,D185,"N/A")))</f>
        <v>0</v>
      </c>
      <c r="F185" s="106" t="n">
        <f aca="false">E185*Y185</f>
        <v>0</v>
      </c>
      <c r="G185" s="118" t="n">
        <f aca="false">VLOOKUP($A185,Table,MATCH(G$4,Curves,0))</f>
        <v>3</v>
      </c>
      <c r="H185" s="119" t="n">
        <f aca="false">G185+$H$7</f>
        <v>3</v>
      </c>
      <c r="I185" s="118" t="n">
        <f aca="false">'Inputs-Summary'!$B$16</f>
        <v>1.85</v>
      </c>
      <c r="J185" s="118" t="n">
        <f aca="false">VLOOKUP($A185,Table,MATCH(J$4,Curves,0))</f>
        <v>5</v>
      </c>
      <c r="K185" s="119" t="n">
        <f aca="false">J185+$K$7</f>
        <v>5</v>
      </c>
      <c r="L185" s="120" t="n">
        <f aca="false">K185</f>
        <v>5</v>
      </c>
      <c r="M185" s="118" t="n">
        <f aca="false">VLOOKUP($A185,Table,MATCH(M$4,Curves,0))</f>
        <v>5</v>
      </c>
      <c r="N185" s="119" t="n">
        <f aca="false">M185+$N$7</f>
        <v>5</v>
      </c>
      <c r="O185" s="120" t="n">
        <f aca="false">N185</f>
        <v>5</v>
      </c>
      <c r="P185" s="109"/>
      <c r="Q185" s="120" t="n">
        <f aca="false">IF($F$3=1,M185+J185+G185,J185+G185)</f>
        <v>8</v>
      </c>
      <c r="R185" s="120" t="n">
        <f aca="false">IF($F$3=1,N185+K185+H185,K185+H185)</f>
        <v>8</v>
      </c>
      <c r="S185" s="120" t="n">
        <f aca="false">IF($F$3=1,O185+L185+I185,L185+I185)</f>
        <v>6.85</v>
      </c>
      <c r="T185" s="121"/>
      <c r="U185" s="67" t="n">
        <f aca="false">A186-A185</f>
        <v>31</v>
      </c>
      <c r="V185" s="122" t="n">
        <f aca="false">CHOOSE(F$3,A186+24,A185)</f>
        <v>42583</v>
      </c>
      <c r="W185" s="67" t="n">
        <f aca="false">V185-C$3</f>
        <v>-3343</v>
      </c>
      <c r="X185" s="118" t="n">
        <f aca="false">VLOOKUP($A185,Table,MATCH(X$4,Curves,0))</f>
        <v>2</v>
      </c>
      <c r="Y185" s="123" t="n">
        <f aca="false">1/(1+CHOOSE(F$3,(X186+($K$3/10000))/2,(X185+($K$3/10000))/2))^(2*W185/365.25)</f>
        <v>323918.280194149</v>
      </c>
      <c r="Z185" s="67" t="n">
        <f aca="false">IF(AND(mthbeg&lt;=A185,mthend&gt;=A185),1,0)</f>
        <v>0</v>
      </c>
      <c r="AA185" s="67" t="n">
        <f aca="false">U185*Z185</f>
        <v>0</v>
      </c>
      <c r="AC185" s="110" t="n">
        <f aca="false">F185*(H185-I185)</f>
        <v>0</v>
      </c>
      <c r="AD185" s="49"/>
      <c r="AE185" s="124"/>
    </row>
    <row r="186" customFormat="false" ht="12" hidden="false" customHeight="true" outlineLevel="0" collapsed="false">
      <c r="A186" s="115" t="n">
        <f aca="false">EDATE(A185,1)</f>
        <v>42614</v>
      </c>
      <c r="B186" s="116" t="n">
        <f aca="false">'Inputs-Summary'!$B$7</f>
        <v>3017157.21662952</v>
      </c>
      <c r="C186" s="57"/>
      <c r="D186" s="117" t="n">
        <f aca="false">B186+C186</f>
        <v>3017157.21662952</v>
      </c>
      <c r="E186" s="106" t="n">
        <f aca="false">IF(Z186=0,0,IF(AND(Z186=1,$H$3=1),D186*U186,IF($H$3=2,D186,"N/A")))</f>
        <v>0</v>
      </c>
      <c r="F186" s="106" t="n">
        <f aca="false">E186*Y186</f>
        <v>0</v>
      </c>
      <c r="G186" s="118" t="n">
        <f aca="false">VLOOKUP($A186,Table,MATCH(G$4,Curves,0))</f>
        <v>3</v>
      </c>
      <c r="H186" s="119" t="n">
        <f aca="false">G186+$H$7</f>
        <v>3</v>
      </c>
      <c r="I186" s="118" t="n">
        <f aca="false">'Inputs-Summary'!$B$16</f>
        <v>1.85</v>
      </c>
      <c r="J186" s="118" t="n">
        <f aca="false">VLOOKUP($A186,Table,MATCH(J$4,Curves,0))</f>
        <v>5</v>
      </c>
      <c r="K186" s="119" t="n">
        <f aca="false">J186+$K$7</f>
        <v>5</v>
      </c>
      <c r="L186" s="120" t="n">
        <f aca="false">K186</f>
        <v>5</v>
      </c>
      <c r="M186" s="118" t="n">
        <f aca="false">VLOOKUP($A186,Table,MATCH(M$4,Curves,0))</f>
        <v>5</v>
      </c>
      <c r="N186" s="119" t="n">
        <f aca="false">M186+$N$7</f>
        <v>5</v>
      </c>
      <c r="O186" s="120" t="n">
        <f aca="false">N186</f>
        <v>5</v>
      </c>
      <c r="P186" s="109"/>
      <c r="Q186" s="120" t="n">
        <f aca="false">IF($F$3=1,M186+J186+G186,J186+G186)</f>
        <v>8</v>
      </c>
      <c r="R186" s="120" t="n">
        <f aca="false">IF($F$3=1,N186+K186+H186,K186+H186)</f>
        <v>8</v>
      </c>
      <c r="S186" s="120" t="n">
        <f aca="false">IF($F$3=1,O186+L186+I186,L186+I186)</f>
        <v>6.85</v>
      </c>
      <c r="T186" s="121"/>
      <c r="U186" s="67" t="n">
        <f aca="false">A187-A186</f>
        <v>30</v>
      </c>
      <c r="V186" s="122" t="n">
        <f aca="false">CHOOSE(F$3,A187+24,A186)</f>
        <v>42614</v>
      </c>
      <c r="W186" s="67" t="n">
        <f aca="false">V186-C$3</f>
        <v>-3312</v>
      </c>
      <c r="X186" s="118" t="n">
        <f aca="false">VLOOKUP($A186,Table,MATCH(X$4,Curves,0))</f>
        <v>2</v>
      </c>
      <c r="Y186" s="123" t="n">
        <f aca="false">1/(1+CHOOSE(F$3,(X187+($K$3/10000))/2,(X186+($K$3/10000))/2))^(2*W186/365.25)</f>
        <v>287962.937326067</v>
      </c>
      <c r="Z186" s="67" t="n">
        <f aca="false">IF(AND(mthbeg&lt;=A186,mthend&gt;=A186),1,0)</f>
        <v>0</v>
      </c>
      <c r="AA186" s="67" t="n">
        <f aca="false">U186*Z186</f>
        <v>0</v>
      </c>
      <c r="AC186" s="110" t="n">
        <f aca="false">F186*(H186-I186)</f>
        <v>0</v>
      </c>
      <c r="AD186" s="49"/>
      <c r="AE186" s="124"/>
    </row>
    <row r="187" customFormat="false" ht="12" hidden="false" customHeight="true" outlineLevel="0" collapsed="false">
      <c r="A187" s="115" t="n">
        <f aca="false">EDATE(A186,1)</f>
        <v>42644</v>
      </c>
      <c r="B187" s="116" t="n">
        <f aca="false">'Inputs-Summary'!$B$7</f>
        <v>3017157.21662952</v>
      </c>
      <c r="C187" s="57"/>
      <c r="D187" s="117" t="n">
        <f aca="false">B187+C187</f>
        <v>3017157.21662952</v>
      </c>
      <c r="E187" s="106" t="n">
        <f aca="false">IF(Z187=0,0,IF(AND(Z187=1,$H$3=1),D187*U187,IF($H$3=2,D187,"N/A")))</f>
        <v>0</v>
      </c>
      <c r="F187" s="106" t="n">
        <f aca="false">E187*Y187</f>
        <v>0</v>
      </c>
      <c r="G187" s="118" t="n">
        <f aca="false">VLOOKUP($A187,Table,MATCH(G$4,Curves,0))</f>
        <v>3</v>
      </c>
      <c r="H187" s="119" t="n">
        <f aca="false">G187+$H$7</f>
        <v>3</v>
      </c>
      <c r="I187" s="118" t="n">
        <f aca="false">'Inputs-Summary'!$B$16</f>
        <v>1.85</v>
      </c>
      <c r="J187" s="118" t="n">
        <f aca="false">VLOOKUP($A187,Table,MATCH(J$4,Curves,0))</f>
        <v>5</v>
      </c>
      <c r="K187" s="119" t="n">
        <f aca="false">J187+$K$7</f>
        <v>5</v>
      </c>
      <c r="L187" s="120" t="n">
        <f aca="false">K187</f>
        <v>5</v>
      </c>
      <c r="M187" s="118" t="n">
        <f aca="false">VLOOKUP($A187,Table,MATCH(M$4,Curves,0))</f>
        <v>5</v>
      </c>
      <c r="N187" s="119" t="n">
        <f aca="false">M187+$N$7</f>
        <v>5</v>
      </c>
      <c r="O187" s="120" t="n">
        <f aca="false">N187</f>
        <v>5</v>
      </c>
      <c r="P187" s="109"/>
      <c r="Q187" s="120" t="n">
        <f aca="false">IF($F$3=1,M187+J187+G187,J187+G187)</f>
        <v>8</v>
      </c>
      <c r="R187" s="120" t="n">
        <f aca="false">IF($F$3=1,N187+K187+H187,K187+H187)</f>
        <v>8</v>
      </c>
      <c r="S187" s="120" t="n">
        <f aca="false">IF($F$3=1,O187+L187+I187,L187+I187)</f>
        <v>6.85</v>
      </c>
      <c r="T187" s="121"/>
      <c r="U187" s="67" t="n">
        <f aca="false">A188-A187</f>
        <v>31</v>
      </c>
      <c r="V187" s="122" t="n">
        <f aca="false">CHOOSE(F$3,A188+24,A187)</f>
        <v>42644</v>
      </c>
      <c r="W187" s="67" t="n">
        <f aca="false">V187-C$3</f>
        <v>-3282</v>
      </c>
      <c r="X187" s="118" t="n">
        <f aca="false">VLOOKUP($A187,Table,MATCH(X$4,Curves,0))</f>
        <v>2</v>
      </c>
      <c r="Y187" s="123" t="n">
        <f aca="false">1/(1+CHOOSE(F$3,(X188+($K$3/10000))/2,(X187+($K$3/10000))/2))^(2*W187/365.25)</f>
        <v>256972.164266199</v>
      </c>
      <c r="Z187" s="67" t="n">
        <f aca="false">IF(AND(mthbeg&lt;=A187,mthend&gt;=A187),1,0)</f>
        <v>0</v>
      </c>
      <c r="AA187" s="67" t="n">
        <f aca="false">U187*Z187</f>
        <v>0</v>
      </c>
      <c r="AC187" s="110" t="n">
        <f aca="false">F187*(H187-I187)</f>
        <v>0</v>
      </c>
      <c r="AD187" s="49"/>
      <c r="AE187" s="124"/>
    </row>
    <row r="188" customFormat="false" ht="12" hidden="false" customHeight="true" outlineLevel="0" collapsed="false">
      <c r="A188" s="115" t="n">
        <f aca="false">EDATE(A187,1)</f>
        <v>42675</v>
      </c>
      <c r="B188" s="116" t="n">
        <f aca="false">'Inputs-Summary'!$B$7</f>
        <v>3017157.21662952</v>
      </c>
      <c r="C188" s="57"/>
      <c r="D188" s="117" t="n">
        <f aca="false">B188+C188</f>
        <v>3017157.21662952</v>
      </c>
      <c r="E188" s="106" t="n">
        <f aca="false">IF(Z188=0,0,IF(AND(Z188=1,$H$3=1),D188*U188,IF($H$3=2,D188,"N/A")))</f>
        <v>0</v>
      </c>
      <c r="F188" s="106" t="n">
        <f aca="false">E188*Y188</f>
        <v>0</v>
      </c>
      <c r="G188" s="118" t="n">
        <f aca="false">VLOOKUP($A188,Table,MATCH(G$4,Curves,0))</f>
        <v>3</v>
      </c>
      <c r="H188" s="119" t="n">
        <f aca="false">G188+$H$7</f>
        <v>3</v>
      </c>
      <c r="I188" s="118" t="n">
        <f aca="false">'Inputs-Summary'!$B$16</f>
        <v>1.85</v>
      </c>
      <c r="J188" s="118" t="n">
        <f aca="false">VLOOKUP($A188,Table,MATCH(J$4,Curves,0))</f>
        <v>5</v>
      </c>
      <c r="K188" s="119" t="n">
        <f aca="false">J188+$K$7</f>
        <v>5</v>
      </c>
      <c r="L188" s="120" t="n">
        <f aca="false">K188</f>
        <v>5</v>
      </c>
      <c r="M188" s="118" t="n">
        <f aca="false">VLOOKUP($A188,Table,MATCH(M$4,Curves,0))</f>
        <v>5</v>
      </c>
      <c r="N188" s="119" t="n">
        <f aca="false">M188+$N$7</f>
        <v>5</v>
      </c>
      <c r="O188" s="120" t="n">
        <f aca="false">N188</f>
        <v>5</v>
      </c>
      <c r="P188" s="109"/>
      <c r="Q188" s="120" t="n">
        <f aca="false">IF($F$3=1,M188+J188+G188,J188+G188)</f>
        <v>8</v>
      </c>
      <c r="R188" s="120" t="n">
        <f aca="false">IF($F$3=1,N188+K188+H188,K188+H188)</f>
        <v>8</v>
      </c>
      <c r="S188" s="120" t="n">
        <f aca="false">IF($F$3=1,O188+L188+I188,L188+I188)</f>
        <v>6.85</v>
      </c>
      <c r="T188" s="121"/>
      <c r="U188" s="67" t="n">
        <f aca="false">A189-A188</f>
        <v>30</v>
      </c>
      <c r="V188" s="122" t="n">
        <f aca="false">CHOOSE(F$3,A189+24,A188)</f>
        <v>42675</v>
      </c>
      <c r="W188" s="67" t="n">
        <f aca="false">V188-C$3</f>
        <v>-3251</v>
      </c>
      <c r="X188" s="118" t="n">
        <f aca="false">VLOOKUP($A188,Table,MATCH(X$4,Curves,0))</f>
        <v>2</v>
      </c>
      <c r="Y188" s="123" t="n">
        <f aca="false">1/(1+CHOOSE(F$3,(X189+($K$3/10000))/2,(X188+($K$3/10000))/2))^(2*W188/365.25)</f>
        <v>228447.925781708</v>
      </c>
      <c r="Z188" s="67" t="n">
        <f aca="false">IF(AND(mthbeg&lt;=A188,mthend&gt;=A188),1,0)</f>
        <v>0</v>
      </c>
      <c r="AA188" s="67" t="n">
        <f aca="false">U188*Z188</f>
        <v>0</v>
      </c>
      <c r="AC188" s="110" t="n">
        <f aca="false">F188*(H188-I188)</f>
        <v>0</v>
      </c>
      <c r="AD188" s="49"/>
      <c r="AE188" s="124"/>
    </row>
    <row r="189" customFormat="false" ht="12" hidden="false" customHeight="true" outlineLevel="0" collapsed="false">
      <c r="A189" s="115" t="n">
        <f aca="false">EDATE(A188,1)</f>
        <v>42705</v>
      </c>
      <c r="B189" s="116" t="n">
        <f aca="false">'Inputs-Summary'!$B$7</f>
        <v>3017157.21662952</v>
      </c>
      <c r="C189" s="57"/>
      <c r="D189" s="117" t="n">
        <f aca="false">B189+C189</f>
        <v>3017157.21662952</v>
      </c>
      <c r="E189" s="106" t="n">
        <f aca="false">IF(Z189=0,0,IF(AND(Z189=1,$H$3=1),D189*U189,IF($H$3=2,D189,"N/A")))</f>
        <v>0</v>
      </c>
      <c r="F189" s="106" t="n">
        <f aca="false">E189*Y189</f>
        <v>0</v>
      </c>
      <c r="G189" s="118" t="n">
        <f aca="false">VLOOKUP($A189,Table,MATCH(G$4,Curves,0))</f>
        <v>3</v>
      </c>
      <c r="H189" s="119" t="n">
        <f aca="false">G189+$H$7</f>
        <v>3</v>
      </c>
      <c r="I189" s="118" t="n">
        <f aca="false">'Inputs-Summary'!$B$16</f>
        <v>1.85</v>
      </c>
      <c r="J189" s="118" t="n">
        <f aca="false">VLOOKUP($A189,Table,MATCH(J$4,Curves,0))</f>
        <v>5</v>
      </c>
      <c r="K189" s="119" t="n">
        <f aca="false">J189+$K$7</f>
        <v>5</v>
      </c>
      <c r="L189" s="120" t="n">
        <f aca="false">K189</f>
        <v>5</v>
      </c>
      <c r="M189" s="118" t="n">
        <f aca="false">VLOOKUP($A189,Table,MATCH(M$4,Curves,0))</f>
        <v>5</v>
      </c>
      <c r="N189" s="119" t="n">
        <f aca="false">M189+$N$7</f>
        <v>5</v>
      </c>
      <c r="O189" s="120" t="n">
        <f aca="false">N189</f>
        <v>5</v>
      </c>
      <c r="P189" s="109"/>
      <c r="Q189" s="120" t="n">
        <f aca="false">IF($F$3=1,M189+J189+G189,J189+G189)</f>
        <v>8</v>
      </c>
      <c r="R189" s="120" t="n">
        <f aca="false">IF($F$3=1,N189+K189+H189,K189+H189)</f>
        <v>8</v>
      </c>
      <c r="S189" s="120" t="n">
        <f aca="false">IF($F$3=1,O189+L189+I189,L189+I189)</f>
        <v>6.85</v>
      </c>
      <c r="T189" s="121"/>
      <c r="U189" s="67" t="n">
        <f aca="false">A190-A189</f>
        <v>31</v>
      </c>
      <c r="V189" s="122" t="n">
        <f aca="false">CHOOSE(F$3,A190+24,A189)</f>
        <v>42705</v>
      </c>
      <c r="W189" s="67" t="n">
        <f aca="false">V189-C$3</f>
        <v>-3221</v>
      </c>
      <c r="X189" s="118" t="n">
        <f aca="false">VLOOKUP($A189,Table,MATCH(X$4,Curves,0))</f>
        <v>2</v>
      </c>
      <c r="Y189" s="123" t="n">
        <f aca="false">1/(1+CHOOSE(F$3,(X190+($K$3/10000))/2,(X189+($K$3/10000))/2))^(2*W189/365.25)</f>
        <v>203862.199960047</v>
      </c>
      <c r="Z189" s="67" t="n">
        <f aca="false">IF(AND(mthbeg&lt;=A189,mthend&gt;=A189),1,0)</f>
        <v>0</v>
      </c>
      <c r="AA189" s="67" t="n">
        <f aca="false">U189*Z189</f>
        <v>0</v>
      </c>
      <c r="AC189" s="110" t="n">
        <f aca="false">F189*(H189-I189)</f>
        <v>0</v>
      </c>
      <c r="AD189" s="49"/>
      <c r="AE189" s="124"/>
    </row>
    <row r="190" customFormat="false" ht="12" hidden="false" customHeight="true" outlineLevel="0" collapsed="false">
      <c r="A190" s="115" t="n">
        <f aca="false">EDATE(A189,1)</f>
        <v>42736</v>
      </c>
      <c r="B190" s="116" t="n">
        <f aca="false">'Inputs-Summary'!$B$7</f>
        <v>3017157.21662952</v>
      </c>
      <c r="C190" s="57"/>
      <c r="D190" s="117" t="n">
        <f aca="false">B190+C190</f>
        <v>3017157.21662952</v>
      </c>
      <c r="E190" s="106" t="n">
        <f aca="false">IF(Z190=0,0,IF(AND(Z190=1,$H$3=1),D190*U190,IF($H$3=2,D190,"N/A")))</f>
        <v>0</v>
      </c>
      <c r="F190" s="106" t="n">
        <f aca="false">E190*Y190</f>
        <v>0</v>
      </c>
      <c r="G190" s="118" t="n">
        <f aca="false">VLOOKUP($A190,Table,MATCH(G$4,Curves,0))</f>
        <v>3</v>
      </c>
      <c r="H190" s="119" t="n">
        <f aca="false">G190+$H$7</f>
        <v>3</v>
      </c>
      <c r="I190" s="118" t="n">
        <f aca="false">'Inputs-Summary'!$B$16</f>
        <v>1.85</v>
      </c>
      <c r="J190" s="118" t="n">
        <f aca="false">VLOOKUP($A190,Table,MATCH(J$4,Curves,0))</f>
        <v>5</v>
      </c>
      <c r="K190" s="119" t="n">
        <f aca="false">J190+$K$7</f>
        <v>5</v>
      </c>
      <c r="L190" s="120" t="n">
        <f aca="false">K190</f>
        <v>5</v>
      </c>
      <c r="M190" s="118" t="n">
        <f aca="false">VLOOKUP($A190,Table,MATCH(M$4,Curves,0))</f>
        <v>5</v>
      </c>
      <c r="N190" s="119" t="n">
        <f aca="false">M190+$N$7</f>
        <v>5</v>
      </c>
      <c r="O190" s="120" t="n">
        <f aca="false">N190</f>
        <v>5</v>
      </c>
      <c r="P190" s="109"/>
      <c r="Q190" s="120" t="n">
        <f aca="false">IF($F$3=1,M190+J190+G190,J190+G190)</f>
        <v>8</v>
      </c>
      <c r="R190" s="120" t="n">
        <f aca="false">IF($F$3=1,N190+K190+H190,K190+H190)</f>
        <v>8</v>
      </c>
      <c r="S190" s="120" t="n">
        <f aca="false">IF($F$3=1,O190+L190+I190,L190+I190)</f>
        <v>6.85</v>
      </c>
      <c r="T190" s="121"/>
      <c r="U190" s="67" t="n">
        <f aca="false">A191-A190</f>
        <v>31</v>
      </c>
      <c r="V190" s="122" t="n">
        <f aca="false">CHOOSE(F$3,A191+24,A190)</f>
        <v>42736</v>
      </c>
      <c r="W190" s="67" t="n">
        <f aca="false">V190-C$3</f>
        <v>-3190</v>
      </c>
      <c r="X190" s="118" t="n">
        <f aca="false">VLOOKUP($A190,Table,MATCH(X$4,Curves,0))</f>
        <v>2</v>
      </c>
      <c r="Y190" s="123" t="n">
        <f aca="false">1/(1+CHOOSE(F$3,(X191+($K$3/10000))/2,(X190+($K$3/10000))/2))^(2*W190/365.25)</f>
        <v>181233.235355112</v>
      </c>
      <c r="Z190" s="67" t="n">
        <f aca="false">IF(AND(mthbeg&lt;=A190,mthend&gt;=A190),1,0)</f>
        <v>0</v>
      </c>
      <c r="AA190" s="67" t="n">
        <f aca="false">U190*Z190</f>
        <v>0</v>
      </c>
      <c r="AC190" s="110" t="n">
        <f aca="false">F190*(H190-I190)</f>
        <v>0</v>
      </c>
      <c r="AD190" s="49"/>
      <c r="AE190" s="124"/>
    </row>
    <row r="191" customFormat="false" ht="12" hidden="false" customHeight="true" outlineLevel="0" collapsed="false">
      <c r="A191" s="115" t="n">
        <f aca="false">EDATE(A190,1)</f>
        <v>42767</v>
      </c>
      <c r="B191" s="116" t="n">
        <f aca="false">'Inputs-Summary'!$B$7</f>
        <v>3017157.21662952</v>
      </c>
      <c r="C191" s="57"/>
      <c r="D191" s="117" t="n">
        <f aca="false">B191+C191</f>
        <v>3017157.21662952</v>
      </c>
      <c r="E191" s="106" t="n">
        <f aca="false">IF(Z191=0,0,IF(AND(Z191=1,$H$3=1),D191*U191,IF($H$3=2,D191,"N/A")))</f>
        <v>0</v>
      </c>
      <c r="F191" s="106" t="n">
        <f aca="false">E191*Y191</f>
        <v>0</v>
      </c>
      <c r="G191" s="118" t="n">
        <f aca="false">VLOOKUP($A191,Table,MATCH(G$4,Curves,0))</f>
        <v>3</v>
      </c>
      <c r="H191" s="119" t="n">
        <f aca="false">G191+$H$7</f>
        <v>3</v>
      </c>
      <c r="I191" s="118" t="n">
        <f aca="false">'Inputs-Summary'!$B$16</f>
        <v>1.85</v>
      </c>
      <c r="J191" s="118" t="n">
        <f aca="false">VLOOKUP($A191,Table,MATCH(J$4,Curves,0))</f>
        <v>5</v>
      </c>
      <c r="K191" s="119" t="n">
        <f aca="false">J191+$K$7</f>
        <v>5</v>
      </c>
      <c r="L191" s="120" t="n">
        <f aca="false">K191</f>
        <v>5</v>
      </c>
      <c r="M191" s="118" t="n">
        <f aca="false">VLOOKUP($A191,Table,MATCH(M$4,Curves,0))</f>
        <v>5</v>
      </c>
      <c r="N191" s="119" t="n">
        <f aca="false">M191+$N$7</f>
        <v>5</v>
      </c>
      <c r="O191" s="120" t="n">
        <f aca="false">N191</f>
        <v>5</v>
      </c>
      <c r="P191" s="109"/>
      <c r="Q191" s="120" t="n">
        <f aca="false">IF($F$3=1,M191+J191+G191,J191+G191)</f>
        <v>8</v>
      </c>
      <c r="R191" s="120" t="n">
        <f aca="false">IF($F$3=1,N191+K191+H191,K191+H191)</f>
        <v>8</v>
      </c>
      <c r="S191" s="120" t="n">
        <f aca="false">IF($F$3=1,O191+L191+I191,L191+I191)</f>
        <v>6.85</v>
      </c>
      <c r="T191" s="121"/>
      <c r="U191" s="67" t="n">
        <f aca="false">A192-A191</f>
        <v>28</v>
      </c>
      <c r="V191" s="122" t="n">
        <f aca="false">CHOOSE(F$3,A192+24,A191)</f>
        <v>42767</v>
      </c>
      <c r="W191" s="67" t="n">
        <f aca="false">V191-C$3</f>
        <v>-3159</v>
      </c>
      <c r="X191" s="118" t="n">
        <f aca="false">VLOOKUP($A191,Table,MATCH(X$4,Curves,0))</f>
        <v>2</v>
      </c>
      <c r="Y191" s="123" t="n">
        <f aca="false">1/(1+CHOOSE(F$3,(X192+($K$3/10000))/2,(X191+($K$3/10000))/2))^(2*W191/365.25)</f>
        <v>161116.114727097</v>
      </c>
      <c r="Z191" s="67" t="n">
        <f aca="false">IF(AND(mthbeg&lt;=A191,mthend&gt;=A191),1,0)</f>
        <v>0</v>
      </c>
      <c r="AA191" s="67" t="n">
        <f aca="false">U191*Z191</f>
        <v>0</v>
      </c>
      <c r="AC191" s="110" t="n">
        <f aca="false">F191*(H191-I191)</f>
        <v>0</v>
      </c>
      <c r="AD191" s="49"/>
      <c r="AE191" s="124"/>
    </row>
    <row r="192" customFormat="false" ht="12" hidden="false" customHeight="true" outlineLevel="0" collapsed="false">
      <c r="A192" s="115" t="n">
        <f aca="false">EDATE(A191,1)</f>
        <v>42795</v>
      </c>
      <c r="B192" s="116" t="n">
        <f aca="false">'Inputs-Summary'!$B$7</f>
        <v>3017157.21662952</v>
      </c>
      <c r="C192" s="57"/>
      <c r="D192" s="117" t="n">
        <f aca="false">B192+C192</f>
        <v>3017157.21662952</v>
      </c>
      <c r="E192" s="106" t="n">
        <f aca="false">IF(Z192=0,0,IF(AND(Z192=1,$H$3=1),D192*U192,IF($H$3=2,D192,"N/A")))</f>
        <v>0</v>
      </c>
      <c r="F192" s="106" t="n">
        <f aca="false">E192*Y192</f>
        <v>0</v>
      </c>
      <c r="G192" s="118" t="n">
        <f aca="false">VLOOKUP($A192,Table,MATCH(G$4,Curves,0))</f>
        <v>3</v>
      </c>
      <c r="H192" s="119" t="n">
        <f aca="false">G192+$H$7</f>
        <v>3</v>
      </c>
      <c r="I192" s="118" t="n">
        <f aca="false">'Inputs-Summary'!$B$16</f>
        <v>1.85</v>
      </c>
      <c r="J192" s="118" t="n">
        <f aca="false">VLOOKUP($A192,Table,MATCH(J$4,Curves,0))</f>
        <v>5</v>
      </c>
      <c r="K192" s="119" t="n">
        <f aca="false">J192+$K$7</f>
        <v>5</v>
      </c>
      <c r="L192" s="120" t="n">
        <f aca="false">K192</f>
        <v>5</v>
      </c>
      <c r="M192" s="118" t="n">
        <f aca="false">VLOOKUP($A192,Table,MATCH(M$4,Curves,0))</f>
        <v>5</v>
      </c>
      <c r="N192" s="119" t="n">
        <f aca="false">M192+$N$7</f>
        <v>5</v>
      </c>
      <c r="O192" s="120" t="n">
        <f aca="false">N192</f>
        <v>5</v>
      </c>
      <c r="P192" s="109"/>
      <c r="Q192" s="120" t="n">
        <f aca="false">IF($F$3=1,M192+J192+G192,J192+G192)</f>
        <v>8</v>
      </c>
      <c r="R192" s="120" t="n">
        <f aca="false">IF($F$3=1,N192+K192+H192,K192+H192)</f>
        <v>8</v>
      </c>
      <c r="S192" s="120" t="n">
        <f aca="false">IF($F$3=1,O192+L192+I192,L192+I192)</f>
        <v>6.85</v>
      </c>
      <c r="T192" s="121"/>
      <c r="U192" s="67" t="n">
        <f aca="false">A193-A192</f>
        <v>31</v>
      </c>
      <c r="V192" s="122" t="n">
        <f aca="false">CHOOSE(F$3,A193+24,A192)</f>
        <v>42795</v>
      </c>
      <c r="W192" s="67" t="n">
        <f aca="false">V192-C$3</f>
        <v>-3131</v>
      </c>
      <c r="X192" s="118" t="n">
        <f aca="false">VLOOKUP($A192,Table,MATCH(X$4,Curves,0))</f>
        <v>2</v>
      </c>
      <c r="Y192" s="123" t="n">
        <f aca="false">1/(1+CHOOSE(F$3,(X193+($K$3/10000))/2,(X192+($K$3/10000))/2))^(2*W192/365.25)</f>
        <v>144872.237817119</v>
      </c>
      <c r="Z192" s="67" t="n">
        <f aca="false">IF(AND(mthbeg&lt;=A192,mthend&gt;=A192),1,0)</f>
        <v>0</v>
      </c>
      <c r="AA192" s="67" t="n">
        <f aca="false">U192*Z192</f>
        <v>0</v>
      </c>
      <c r="AC192" s="110" t="n">
        <f aca="false">F192*(H192-I192)</f>
        <v>0</v>
      </c>
      <c r="AD192" s="49"/>
      <c r="AE192" s="124"/>
    </row>
    <row r="193" customFormat="false" ht="12" hidden="false" customHeight="true" outlineLevel="0" collapsed="false">
      <c r="A193" s="115" t="n">
        <f aca="false">EDATE(A192,1)</f>
        <v>42826</v>
      </c>
      <c r="B193" s="116" t="n">
        <f aca="false">'Inputs-Summary'!$B$7</f>
        <v>3017157.21662952</v>
      </c>
      <c r="C193" s="57"/>
      <c r="D193" s="117" t="n">
        <f aca="false">B193+C193</f>
        <v>3017157.21662952</v>
      </c>
      <c r="E193" s="106" t="n">
        <f aca="false">IF(Z193=0,0,IF(AND(Z193=1,$H$3=1),D193*U193,IF($H$3=2,D193,"N/A")))</f>
        <v>0</v>
      </c>
      <c r="F193" s="106" t="n">
        <f aca="false">E193*Y193</f>
        <v>0</v>
      </c>
      <c r="G193" s="118" t="n">
        <f aca="false">VLOOKUP($A193,Table,MATCH(G$4,Curves,0))</f>
        <v>3</v>
      </c>
      <c r="H193" s="119" t="n">
        <f aca="false">G193+$H$7</f>
        <v>3</v>
      </c>
      <c r="I193" s="118" t="n">
        <f aca="false">'Inputs-Summary'!$B$16</f>
        <v>1.85</v>
      </c>
      <c r="J193" s="118" t="n">
        <f aca="false">VLOOKUP($A193,Table,MATCH(J$4,Curves,0))</f>
        <v>5</v>
      </c>
      <c r="K193" s="119" t="n">
        <f aca="false">J193+$K$7</f>
        <v>5</v>
      </c>
      <c r="L193" s="120" t="n">
        <f aca="false">K193</f>
        <v>5</v>
      </c>
      <c r="M193" s="118" t="n">
        <f aca="false">VLOOKUP($A193,Table,MATCH(M$4,Curves,0))</f>
        <v>5</v>
      </c>
      <c r="N193" s="119" t="n">
        <f aca="false">M193+$N$7</f>
        <v>5</v>
      </c>
      <c r="O193" s="120" t="n">
        <f aca="false">N193</f>
        <v>5</v>
      </c>
      <c r="P193" s="109"/>
      <c r="Q193" s="120" t="n">
        <f aca="false">IF($F$3=1,M193+J193+G193,J193+G193)</f>
        <v>8</v>
      </c>
      <c r="R193" s="120" t="n">
        <f aca="false">IF($F$3=1,N193+K193+H193,K193+H193)</f>
        <v>8</v>
      </c>
      <c r="S193" s="120" t="n">
        <f aca="false">IF($F$3=1,O193+L193+I193,L193+I193)</f>
        <v>6.85</v>
      </c>
      <c r="T193" s="121"/>
      <c r="U193" s="67" t="n">
        <f aca="false">A194-A193</f>
        <v>30</v>
      </c>
      <c r="V193" s="122" t="n">
        <f aca="false">CHOOSE(F$3,A194+24,A193)</f>
        <v>42826</v>
      </c>
      <c r="W193" s="67" t="n">
        <f aca="false">V193-C$3</f>
        <v>-3100</v>
      </c>
      <c r="X193" s="118" t="n">
        <f aca="false">VLOOKUP($A193,Table,MATCH(X$4,Curves,0))</f>
        <v>2</v>
      </c>
      <c r="Y193" s="123" t="n">
        <f aca="false">1/(1+CHOOSE(F$3,(X194+($K$3/10000))/2,(X193+($K$3/10000))/2))^(2*W193/365.25)</f>
        <v>128791.23436261</v>
      </c>
      <c r="Z193" s="67" t="n">
        <f aca="false">IF(AND(mthbeg&lt;=A193,mthend&gt;=A193),1,0)</f>
        <v>0</v>
      </c>
      <c r="AA193" s="67" t="n">
        <f aca="false">U193*Z193</f>
        <v>0</v>
      </c>
      <c r="AC193" s="110" t="n">
        <f aca="false">F193*(H193-I193)</f>
        <v>0</v>
      </c>
      <c r="AD193" s="49"/>
      <c r="AE193" s="124"/>
    </row>
    <row r="194" customFormat="false" ht="12" hidden="false" customHeight="true" outlineLevel="0" collapsed="false">
      <c r="A194" s="115" t="n">
        <f aca="false">EDATE(A193,1)</f>
        <v>42856</v>
      </c>
      <c r="B194" s="116" t="n">
        <f aca="false">'Inputs-Summary'!$B$7</f>
        <v>3017157.21662952</v>
      </c>
      <c r="C194" s="57"/>
      <c r="D194" s="117" t="n">
        <f aca="false">B194+C194</f>
        <v>3017157.21662952</v>
      </c>
      <c r="E194" s="106" t="n">
        <f aca="false">IF(Z194=0,0,IF(AND(Z194=1,$H$3=1),D194*U194,IF($H$3=2,D194,"N/A")))</f>
        <v>0</v>
      </c>
      <c r="F194" s="106" t="n">
        <f aca="false">E194*Y194</f>
        <v>0</v>
      </c>
      <c r="G194" s="118" t="n">
        <f aca="false">VLOOKUP($A194,Table,MATCH(G$4,Curves,0))</f>
        <v>3</v>
      </c>
      <c r="H194" s="119" t="n">
        <f aca="false">G194+$H$7</f>
        <v>3</v>
      </c>
      <c r="I194" s="118" t="n">
        <f aca="false">'Inputs-Summary'!$B$16</f>
        <v>1.85</v>
      </c>
      <c r="J194" s="118" t="n">
        <f aca="false">VLOOKUP($A194,Table,MATCH(J$4,Curves,0))</f>
        <v>5</v>
      </c>
      <c r="K194" s="119" t="n">
        <f aca="false">J194+$K$7</f>
        <v>5</v>
      </c>
      <c r="L194" s="120" t="n">
        <f aca="false">K194</f>
        <v>5</v>
      </c>
      <c r="M194" s="118" t="n">
        <f aca="false">VLOOKUP($A194,Table,MATCH(M$4,Curves,0))</f>
        <v>5</v>
      </c>
      <c r="N194" s="119" t="n">
        <f aca="false">M194+$N$7</f>
        <v>5</v>
      </c>
      <c r="O194" s="120" t="n">
        <f aca="false">N194</f>
        <v>5</v>
      </c>
      <c r="P194" s="109"/>
      <c r="Q194" s="120" t="n">
        <f aca="false">IF($F$3=1,M194+J194+G194,J194+G194)</f>
        <v>8</v>
      </c>
      <c r="R194" s="120" t="n">
        <f aca="false">IF($F$3=1,N194+K194+H194,K194+H194)</f>
        <v>8</v>
      </c>
      <c r="S194" s="120" t="n">
        <f aca="false">IF($F$3=1,O194+L194+I194,L194+I194)</f>
        <v>6.85</v>
      </c>
      <c r="T194" s="121"/>
      <c r="U194" s="67" t="n">
        <f aca="false">A195-A194</f>
        <v>31</v>
      </c>
      <c r="V194" s="122" t="n">
        <f aca="false">CHOOSE(F$3,A195+24,A194)</f>
        <v>42856</v>
      </c>
      <c r="W194" s="67" t="n">
        <f aca="false">V194-C$3</f>
        <v>-3070</v>
      </c>
      <c r="X194" s="118" t="n">
        <f aca="false">VLOOKUP($A194,Table,MATCH(X$4,Curves,0))</f>
        <v>2</v>
      </c>
      <c r="Y194" s="123" t="n">
        <f aca="false">1/(1+CHOOSE(F$3,(X195+($K$3/10000))/2,(X194+($K$3/10000))/2))^(2*W194/365.25)</f>
        <v>114930.63149026</v>
      </c>
      <c r="Z194" s="67" t="n">
        <f aca="false">IF(AND(mthbeg&lt;=A194,mthend&gt;=A194),1,0)</f>
        <v>0</v>
      </c>
      <c r="AA194" s="67" t="n">
        <f aca="false">U194*Z194</f>
        <v>0</v>
      </c>
      <c r="AC194" s="110" t="n">
        <f aca="false">F194*(H194-I194)</f>
        <v>0</v>
      </c>
      <c r="AD194" s="49"/>
      <c r="AE194" s="124"/>
    </row>
    <row r="195" customFormat="false" ht="12" hidden="false" customHeight="true" outlineLevel="0" collapsed="false">
      <c r="A195" s="115" t="n">
        <f aca="false">EDATE(A194,1)</f>
        <v>42887</v>
      </c>
      <c r="B195" s="116" t="n">
        <f aca="false">'Inputs-Summary'!$B$7</f>
        <v>3017157.21662952</v>
      </c>
      <c r="C195" s="57"/>
      <c r="D195" s="117" t="n">
        <f aca="false">B195+C195</f>
        <v>3017157.21662952</v>
      </c>
      <c r="E195" s="106" t="n">
        <f aca="false">IF(Z195=0,0,IF(AND(Z195=1,$H$3=1),D195*U195,IF($H$3=2,D195,"N/A")))</f>
        <v>0</v>
      </c>
      <c r="F195" s="106" t="n">
        <f aca="false">E195*Y195</f>
        <v>0</v>
      </c>
      <c r="G195" s="118" t="n">
        <f aca="false">VLOOKUP($A195,Table,MATCH(G$4,Curves,0))</f>
        <v>3</v>
      </c>
      <c r="H195" s="119" t="n">
        <f aca="false">G195+$H$7</f>
        <v>3</v>
      </c>
      <c r="I195" s="118" t="n">
        <f aca="false">'Inputs-Summary'!$B$16</f>
        <v>1.85</v>
      </c>
      <c r="J195" s="118" t="n">
        <f aca="false">VLOOKUP($A195,Table,MATCH(J$4,Curves,0))</f>
        <v>5</v>
      </c>
      <c r="K195" s="119" t="n">
        <f aca="false">J195+$K$7</f>
        <v>5</v>
      </c>
      <c r="L195" s="120" t="n">
        <f aca="false">K195</f>
        <v>5</v>
      </c>
      <c r="M195" s="118" t="n">
        <f aca="false">VLOOKUP($A195,Table,MATCH(M$4,Curves,0))</f>
        <v>5</v>
      </c>
      <c r="N195" s="119" t="n">
        <f aca="false">M195+$N$7</f>
        <v>5</v>
      </c>
      <c r="O195" s="120" t="n">
        <f aca="false">N195</f>
        <v>5</v>
      </c>
      <c r="P195" s="109"/>
      <c r="Q195" s="120" t="n">
        <f aca="false">IF($F$3=1,M195+J195+G195,J195+G195)</f>
        <v>8</v>
      </c>
      <c r="R195" s="120" t="n">
        <f aca="false">IF($F$3=1,N195+K195+H195,K195+H195)</f>
        <v>8</v>
      </c>
      <c r="S195" s="120" t="n">
        <f aca="false">IF($F$3=1,O195+L195+I195,L195+I195)</f>
        <v>6.85</v>
      </c>
      <c r="T195" s="121"/>
      <c r="U195" s="67" t="n">
        <f aca="false">A196-A195</f>
        <v>30</v>
      </c>
      <c r="V195" s="122" t="n">
        <f aca="false">CHOOSE(F$3,A196+24,A195)</f>
        <v>42887</v>
      </c>
      <c r="W195" s="67" t="n">
        <f aca="false">V195-C$3</f>
        <v>-3039</v>
      </c>
      <c r="X195" s="118" t="n">
        <f aca="false">VLOOKUP($A195,Table,MATCH(X$4,Curves,0))</f>
        <v>2</v>
      </c>
      <c r="Y195" s="123" t="n">
        <f aca="false">1/(1+CHOOSE(F$3,(X196+($K$3/10000))/2,(X195+($K$3/10000))/2))^(2*W195/365.25)</f>
        <v>102173.184584823</v>
      </c>
      <c r="Z195" s="67" t="n">
        <f aca="false">IF(AND(mthbeg&lt;=A195,mthend&gt;=A195),1,0)</f>
        <v>0</v>
      </c>
      <c r="AA195" s="67" t="n">
        <f aca="false">U195*Z195</f>
        <v>0</v>
      </c>
      <c r="AC195" s="110" t="n">
        <f aca="false">F195*(H195-I195)</f>
        <v>0</v>
      </c>
      <c r="AD195" s="49"/>
      <c r="AE195" s="124"/>
    </row>
    <row r="196" customFormat="false" ht="12" hidden="false" customHeight="true" outlineLevel="0" collapsed="false">
      <c r="A196" s="115" t="n">
        <f aca="false">EDATE(A195,1)</f>
        <v>42917</v>
      </c>
      <c r="B196" s="116" t="n">
        <f aca="false">'Inputs-Summary'!$B$7</f>
        <v>3017157.21662952</v>
      </c>
      <c r="C196" s="57"/>
      <c r="D196" s="117" t="n">
        <f aca="false">B196+C196</f>
        <v>3017157.21662952</v>
      </c>
      <c r="E196" s="106" t="n">
        <f aca="false">IF(Z196=0,0,IF(AND(Z196=1,$H$3=1),D196*U196,IF($H$3=2,D196,"N/A")))</f>
        <v>0</v>
      </c>
      <c r="F196" s="106" t="n">
        <f aca="false">E196*Y196</f>
        <v>0</v>
      </c>
      <c r="G196" s="118" t="n">
        <f aca="false">VLOOKUP($A196,Table,MATCH(G$4,Curves,0))</f>
        <v>3</v>
      </c>
      <c r="H196" s="119" t="n">
        <f aca="false">G196+$H$7</f>
        <v>3</v>
      </c>
      <c r="I196" s="118" t="n">
        <f aca="false">'Inputs-Summary'!$B$16</f>
        <v>1.85</v>
      </c>
      <c r="J196" s="118" t="n">
        <f aca="false">VLOOKUP($A196,Table,MATCH(J$4,Curves,0))</f>
        <v>5</v>
      </c>
      <c r="K196" s="119" t="n">
        <f aca="false">J196+$K$7</f>
        <v>5</v>
      </c>
      <c r="L196" s="120" t="n">
        <f aca="false">K196</f>
        <v>5</v>
      </c>
      <c r="M196" s="118" t="n">
        <f aca="false">VLOOKUP($A196,Table,MATCH(M$4,Curves,0))</f>
        <v>5</v>
      </c>
      <c r="N196" s="119" t="n">
        <f aca="false">M196+$N$7</f>
        <v>5</v>
      </c>
      <c r="O196" s="120" t="n">
        <f aca="false">N196</f>
        <v>5</v>
      </c>
      <c r="P196" s="109"/>
      <c r="Q196" s="120" t="n">
        <f aca="false">IF($F$3=1,M196+J196+G196,J196+G196)</f>
        <v>8</v>
      </c>
      <c r="R196" s="120" t="n">
        <f aca="false">IF($F$3=1,N196+K196+H196,K196+H196)</f>
        <v>8</v>
      </c>
      <c r="S196" s="120" t="n">
        <f aca="false">IF($F$3=1,O196+L196+I196,L196+I196)</f>
        <v>6.85</v>
      </c>
      <c r="T196" s="121"/>
      <c r="U196" s="67" t="n">
        <f aca="false">A197-A196</f>
        <v>31</v>
      </c>
      <c r="V196" s="122" t="n">
        <f aca="false">CHOOSE(F$3,A197+24,A196)</f>
        <v>42917</v>
      </c>
      <c r="W196" s="67" t="n">
        <f aca="false">V196-C$3</f>
        <v>-3009</v>
      </c>
      <c r="X196" s="118" t="n">
        <f aca="false">VLOOKUP($A196,Table,MATCH(X$4,Curves,0))</f>
        <v>2</v>
      </c>
      <c r="Y196" s="123" t="n">
        <f aca="false">1/(1+CHOOSE(F$3,(X197+($K$3/10000))/2,(X196+($K$3/10000))/2))^(2*W196/365.25)</f>
        <v>91177.2348779794</v>
      </c>
      <c r="Z196" s="67" t="n">
        <f aca="false">IF(AND(mthbeg&lt;=A196,mthend&gt;=A196),1,0)</f>
        <v>0</v>
      </c>
      <c r="AA196" s="67" t="n">
        <f aca="false">U196*Z196</f>
        <v>0</v>
      </c>
      <c r="AC196" s="110" t="n">
        <f aca="false">F196*(H196-I196)</f>
        <v>0</v>
      </c>
      <c r="AD196" s="49"/>
      <c r="AE196" s="124"/>
    </row>
    <row r="197" customFormat="false" ht="12" hidden="false" customHeight="true" outlineLevel="0" collapsed="false">
      <c r="A197" s="115" t="n">
        <f aca="false">EDATE(A196,1)</f>
        <v>42948</v>
      </c>
      <c r="B197" s="116" t="n">
        <f aca="false">'Inputs-Summary'!$B$7</f>
        <v>3017157.21662952</v>
      </c>
      <c r="C197" s="57"/>
      <c r="D197" s="117" t="n">
        <f aca="false">B197+C197</f>
        <v>3017157.21662952</v>
      </c>
      <c r="E197" s="106" t="n">
        <f aca="false">IF(Z197=0,0,IF(AND(Z197=1,$H$3=1),D197*U197,IF($H$3=2,D197,"N/A")))</f>
        <v>0</v>
      </c>
      <c r="F197" s="106" t="n">
        <f aca="false">E197*Y197</f>
        <v>0</v>
      </c>
      <c r="G197" s="118" t="n">
        <f aca="false">VLOOKUP($A197,Table,MATCH(G$4,Curves,0))</f>
        <v>3</v>
      </c>
      <c r="H197" s="119" t="n">
        <f aca="false">G197+$H$7</f>
        <v>3</v>
      </c>
      <c r="I197" s="118" t="n">
        <f aca="false">'Inputs-Summary'!$B$16</f>
        <v>1.85</v>
      </c>
      <c r="J197" s="118" t="n">
        <f aca="false">VLOOKUP($A197,Table,MATCH(J$4,Curves,0))</f>
        <v>5</v>
      </c>
      <c r="K197" s="119" t="n">
        <f aca="false">J197+$K$7</f>
        <v>5</v>
      </c>
      <c r="L197" s="120" t="n">
        <f aca="false">K197</f>
        <v>5</v>
      </c>
      <c r="M197" s="118" t="n">
        <f aca="false">VLOOKUP($A197,Table,MATCH(M$4,Curves,0))</f>
        <v>5</v>
      </c>
      <c r="N197" s="119" t="n">
        <f aca="false">M197+$N$7</f>
        <v>5</v>
      </c>
      <c r="O197" s="120" t="n">
        <f aca="false">N197</f>
        <v>5</v>
      </c>
      <c r="P197" s="109"/>
      <c r="Q197" s="120" t="n">
        <f aca="false">IF($F$3=1,M197+J197+G197,J197+G197)</f>
        <v>8</v>
      </c>
      <c r="R197" s="120" t="n">
        <f aca="false">IF($F$3=1,N197+K197+H197,K197+H197)</f>
        <v>8</v>
      </c>
      <c r="S197" s="120" t="n">
        <f aca="false">IF($F$3=1,O197+L197+I197,L197+I197)</f>
        <v>6.85</v>
      </c>
      <c r="T197" s="121"/>
      <c r="U197" s="67" t="n">
        <f aca="false">A198-A197</f>
        <v>31</v>
      </c>
      <c r="V197" s="122" t="n">
        <f aca="false">CHOOSE(F$3,A198+24,A197)</f>
        <v>42948</v>
      </c>
      <c r="W197" s="67" t="n">
        <f aca="false">V197-C$3</f>
        <v>-2978</v>
      </c>
      <c r="X197" s="118" t="n">
        <f aca="false">VLOOKUP($A197,Table,MATCH(X$4,Curves,0))</f>
        <v>2</v>
      </c>
      <c r="Y197" s="123" t="n">
        <f aca="false">1/(1+CHOOSE(F$3,(X198+($K$3/10000))/2,(X197+($K$3/10000))/2))^(2*W197/365.25)</f>
        <v>81056.4453386042</v>
      </c>
      <c r="Z197" s="67" t="n">
        <f aca="false">IF(AND(mthbeg&lt;=A197,mthend&gt;=A197),1,0)</f>
        <v>0</v>
      </c>
      <c r="AA197" s="67" t="n">
        <f aca="false">U197*Z197</f>
        <v>0</v>
      </c>
      <c r="AC197" s="110" t="n">
        <f aca="false">F197*(H197-I197)</f>
        <v>0</v>
      </c>
      <c r="AD197" s="49"/>
      <c r="AE197" s="124"/>
    </row>
    <row r="198" customFormat="false" ht="12" hidden="false" customHeight="true" outlineLevel="0" collapsed="false">
      <c r="A198" s="115" t="n">
        <f aca="false">EDATE(A197,1)</f>
        <v>42979</v>
      </c>
      <c r="B198" s="116" t="n">
        <f aca="false">'Inputs-Summary'!$B$7</f>
        <v>3017157.21662952</v>
      </c>
      <c r="C198" s="57"/>
      <c r="D198" s="117" t="n">
        <f aca="false">B198+C198</f>
        <v>3017157.21662952</v>
      </c>
      <c r="E198" s="106" t="n">
        <f aca="false">IF(Z198=0,0,IF(AND(Z198=1,$H$3=1),D198*U198,IF($H$3=2,D198,"N/A")))</f>
        <v>0</v>
      </c>
      <c r="F198" s="106" t="n">
        <f aca="false">E198*Y198</f>
        <v>0</v>
      </c>
      <c r="G198" s="118" t="n">
        <f aca="false">VLOOKUP($A198,Table,MATCH(G$4,Curves,0))</f>
        <v>3</v>
      </c>
      <c r="H198" s="119" t="n">
        <f aca="false">G198+$H$7</f>
        <v>3</v>
      </c>
      <c r="I198" s="118" t="n">
        <f aca="false">'Inputs-Summary'!$B$16</f>
        <v>1.85</v>
      </c>
      <c r="J198" s="118" t="n">
        <f aca="false">VLOOKUP($A198,Table,MATCH(J$4,Curves,0))</f>
        <v>5</v>
      </c>
      <c r="K198" s="119" t="n">
        <f aca="false">J198+$K$7</f>
        <v>5</v>
      </c>
      <c r="L198" s="120" t="n">
        <f aca="false">K198</f>
        <v>5</v>
      </c>
      <c r="M198" s="118" t="n">
        <f aca="false">VLOOKUP($A198,Table,MATCH(M$4,Curves,0))</f>
        <v>5</v>
      </c>
      <c r="N198" s="119" t="n">
        <f aca="false">M198+$N$7</f>
        <v>5</v>
      </c>
      <c r="O198" s="120" t="n">
        <f aca="false">N198</f>
        <v>5</v>
      </c>
      <c r="P198" s="109"/>
      <c r="Q198" s="120" t="n">
        <f aca="false">IF($F$3=1,M198+J198+G198,J198+G198)</f>
        <v>8</v>
      </c>
      <c r="R198" s="120" t="n">
        <f aca="false">IF($F$3=1,N198+K198+H198,K198+H198)</f>
        <v>8</v>
      </c>
      <c r="S198" s="120" t="n">
        <f aca="false">IF($F$3=1,O198+L198+I198,L198+I198)</f>
        <v>6.85</v>
      </c>
      <c r="T198" s="121"/>
      <c r="U198" s="67" t="n">
        <f aca="false">A199-A198</f>
        <v>30</v>
      </c>
      <c r="V198" s="122" t="n">
        <f aca="false">CHOOSE(F$3,A199+24,A198)</f>
        <v>42979</v>
      </c>
      <c r="W198" s="67" t="n">
        <f aca="false">V198-C$3</f>
        <v>-2947</v>
      </c>
      <c r="X198" s="118" t="n">
        <f aca="false">VLOOKUP($A198,Table,MATCH(X$4,Curves,0))</f>
        <v>2</v>
      </c>
      <c r="Y198" s="123" t="n">
        <f aca="false">1/(1+CHOOSE(F$3,(X199+($K$3/10000))/2,(X198+($K$3/10000))/2))^(2*W198/365.25)</f>
        <v>72059.0763661875</v>
      </c>
      <c r="Z198" s="67" t="n">
        <f aca="false">IF(AND(mthbeg&lt;=A198,mthend&gt;=A198),1,0)</f>
        <v>0</v>
      </c>
      <c r="AA198" s="67" t="n">
        <f aca="false">U198*Z198</f>
        <v>0</v>
      </c>
      <c r="AC198" s="110" t="n">
        <f aca="false">F198*(H198-I198)</f>
        <v>0</v>
      </c>
      <c r="AD198" s="49"/>
      <c r="AE198" s="124"/>
    </row>
    <row r="199" customFormat="false" ht="12" hidden="false" customHeight="true" outlineLevel="0" collapsed="false">
      <c r="A199" s="115" t="n">
        <f aca="false">EDATE(A198,1)</f>
        <v>43009</v>
      </c>
      <c r="B199" s="116" t="n">
        <f aca="false">'Inputs-Summary'!$B$7</f>
        <v>3017157.21662952</v>
      </c>
      <c r="C199" s="57"/>
      <c r="D199" s="117" t="n">
        <f aca="false">B199+C199</f>
        <v>3017157.21662952</v>
      </c>
      <c r="E199" s="106" t="n">
        <f aca="false">IF(Z199=0,0,IF(AND(Z199=1,$H$3=1),D199*U199,IF($H$3=2,D199,"N/A")))</f>
        <v>0</v>
      </c>
      <c r="F199" s="106" t="n">
        <f aca="false">E199*Y199</f>
        <v>0</v>
      </c>
      <c r="G199" s="118" t="n">
        <f aca="false">VLOOKUP($A199,Table,MATCH(G$4,Curves,0))</f>
        <v>3</v>
      </c>
      <c r="H199" s="119" t="n">
        <f aca="false">G199+$H$7</f>
        <v>3</v>
      </c>
      <c r="I199" s="118" t="n">
        <f aca="false">'Inputs-Summary'!$B$16</f>
        <v>1.85</v>
      </c>
      <c r="J199" s="118" t="n">
        <f aca="false">VLOOKUP($A199,Table,MATCH(J$4,Curves,0))</f>
        <v>5</v>
      </c>
      <c r="K199" s="119" t="n">
        <f aca="false">J199+$K$7</f>
        <v>5</v>
      </c>
      <c r="L199" s="120" t="n">
        <f aca="false">K199</f>
        <v>5</v>
      </c>
      <c r="M199" s="118" t="n">
        <f aca="false">VLOOKUP($A199,Table,MATCH(M$4,Curves,0))</f>
        <v>5</v>
      </c>
      <c r="N199" s="119" t="n">
        <f aca="false">M199+$N$7</f>
        <v>5</v>
      </c>
      <c r="O199" s="120" t="n">
        <f aca="false">N199</f>
        <v>5</v>
      </c>
      <c r="P199" s="109"/>
      <c r="Q199" s="120" t="n">
        <f aca="false">IF($F$3=1,M199+J199+G199,J199+G199)</f>
        <v>8</v>
      </c>
      <c r="R199" s="120" t="n">
        <f aca="false">IF($F$3=1,N199+K199+H199,K199+H199)</f>
        <v>8</v>
      </c>
      <c r="S199" s="120" t="n">
        <f aca="false">IF($F$3=1,O199+L199+I199,L199+I199)</f>
        <v>6.85</v>
      </c>
      <c r="T199" s="121"/>
      <c r="U199" s="67" t="n">
        <f aca="false">A200-A199</f>
        <v>31</v>
      </c>
      <c r="V199" s="122" t="n">
        <f aca="false">CHOOSE(F$3,A200+24,A199)</f>
        <v>43009</v>
      </c>
      <c r="W199" s="67" t="n">
        <f aca="false">V199-C$3</f>
        <v>-2917</v>
      </c>
      <c r="X199" s="118" t="n">
        <f aca="false">VLOOKUP($A199,Table,MATCH(X$4,Curves,0))</f>
        <v>2</v>
      </c>
      <c r="Y199" s="123" t="n">
        <f aca="false">1/(1+CHOOSE(F$3,(X200+($K$3/10000))/2,(X199+($K$3/10000))/2))^(2*W199/365.25)</f>
        <v>64304.0280835691</v>
      </c>
      <c r="Z199" s="67" t="n">
        <f aca="false">IF(AND(mthbeg&lt;=A199,mthend&gt;=A199),1,0)</f>
        <v>0</v>
      </c>
      <c r="AA199" s="67" t="n">
        <f aca="false">U199*Z199</f>
        <v>0</v>
      </c>
      <c r="AC199" s="110" t="n">
        <f aca="false">F199*(H199-I199)</f>
        <v>0</v>
      </c>
      <c r="AD199" s="49"/>
      <c r="AE199" s="124"/>
    </row>
    <row r="200" customFormat="false" ht="12" hidden="false" customHeight="true" outlineLevel="0" collapsed="false">
      <c r="A200" s="115" t="n">
        <f aca="false">EDATE(A199,1)</f>
        <v>43040</v>
      </c>
      <c r="B200" s="116" t="n">
        <f aca="false">'Inputs-Summary'!$B$7</f>
        <v>3017157.21662952</v>
      </c>
      <c r="C200" s="57"/>
      <c r="D200" s="117" t="n">
        <f aca="false">B200+C200</f>
        <v>3017157.21662952</v>
      </c>
      <c r="E200" s="106" t="n">
        <f aca="false">IF(Z200=0,0,IF(AND(Z200=1,$H$3=1),D200*U200,IF($H$3=2,D200,"N/A")))</f>
        <v>0</v>
      </c>
      <c r="F200" s="106" t="n">
        <f aca="false">E200*Y200</f>
        <v>0</v>
      </c>
      <c r="G200" s="118" t="n">
        <f aca="false">VLOOKUP($A200,Table,MATCH(G$4,Curves,0))</f>
        <v>3</v>
      </c>
      <c r="H200" s="119" t="n">
        <f aca="false">G200+$H$7</f>
        <v>3</v>
      </c>
      <c r="I200" s="118" t="n">
        <f aca="false">'Inputs-Summary'!$B$16</f>
        <v>1.85</v>
      </c>
      <c r="J200" s="118" t="n">
        <f aca="false">VLOOKUP($A200,Table,MATCH(J$4,Curves,0))</f>
        <v>5</v>
      </c>
      <c r="K200" s="119" t="n">
        <f aca="false">J200+$K$7</f>
        <v>5</v>
      </c>
      <c r="L200" s="120" t="n">
        <f aca="false">K200</f>
        <v>5</v>
      </c>
      <c r="M200" s="118" t="n">
        <f aca="false">VLOOKUP($A200,Table,MATCH(M$4,Curves,0))</f>
        <v>5</v>
      </c>
      <c r="N200" s="119" t="n">
        <f aca="false">M200+$N$7</f>
        <v>5</v>
      </c>
      <c r="O200" s="120" t="n">
        <f aca="false">N200</f>
        <v>5</v>
      </c>
      <c r="P200" s="109"/>
      <c r="Q200" s="120" t="n">
        <f aca="false">IF($F$3=1,M200+J200+G200,J200+G200)</f>
        <v>8</v>
      </c>
      <c r="R200" s="120" t="n">
        <f aca="false">IF($F$3=1,N200+K200+H200,K200+H200)</f>
        <v>8</v>
      </c>
      <c r="S200" s="120" t="n">
        <f aca="false">IF($F$3=1,O200+L200+I200,L200+I200)</f>
        <v>6.85</v>
      </c>
      <c r="T200" s="121"/>
      <c r="U200" s="67" t="n">
        <f aca="false">A201-A200</f>
        <v>30</v>
      </c>
      <c r="V200" s="122" t="n">
        <f aca="false">CHOOSE(F$3,A201+24,A200)</f>
        <v>43040</v>
      </c>
      <c r="W200" s="67" t="n">
        <f aca="false">V200-C$3</f>
        <v>-2886</v>
      </c>
      <c r="X200" s="118" t="n">
        <f aca="false">VLOOKUP($A200,Table,MATCH(X$4,Curves,0))</f>
        <v>2</v>
      </c>
      <c r="Y200" s="123" t="n">
        <f aca="false">1/(1+CHOOSE(F$3,(X201+($K$3/10000))/2,(X200+($K$3/10000))/2))^(2*W200/365.25)</f>
        <v>57166.1988256536</v>
      </c>
      <c r="Z200" s="67" t="n">
        <f aca="false">IF(AND(mthbeg&lt;=A200,mthend&gt;=A200),1,0)</f>
        <v>0</v>
      </c>
      <c r="AA200" s="67" t="n">
        <f aca="false">U200*Z200</f>
        <v>0</v>
      </c>
      <c r="AC200" s="110" t="n">
        <f aca="false">F200*(H200-I200)</f>
        <v>0</v>
      </c>
      <c r="AD200" s="49"/>
      <c r="AE200" s="124"/>
    </row>
    <row r="201" customFormat="false" ht="12" hidden="false" customHeight="true" outlineLevel="0" collapsed="false">
      <c r="A201" s="115" t="n">
        <f aca="false">EDATE(A200,1)</f>
        <v>43070</v>
      </c>
      <c r="B201" s="116" t="n">
        <f aca="false">'Inputs-Summary'!$B$7</f>
        <v>3017157.21662952</v>
      </c>
      <c r="C201" s="57"/>
      <c r="D201" s="117" t="n">
        <f aca="false">B201+C201</f>
        <v>3017157.21662952</v>
      </c>
      <c r="E201" s="106" t="n">
        <f aca="false">IF(Z201=0,0,IF(AND(Z201=1,$H$3=1),D201*U201,IF($H$3=2,D201,"N/A")))</f>
        <v>0</v>
      </c>
      <c r="F201" s="106" t="n">
        <f aca="false">E201*Y201</f>
        <v>0</v>
      </c>
      <c r="G201" s="118" t="n">
        <f aca="false">VLOOKUP($A201,Table,MATCH(G$4,Curves,0))</f>
        <v>3</v>
      </c>
      <c r="H201" s="119" t="n">
        <f aca="false">G201+$H$7</f>
        <v>3</v>
      </c>
      <c r="I201" s="118" t="n">
        <f aca="false">'Inputs-Summary'!$B$16</f>
        <v>1.85</v>
      </c>
      <c r="J201" s="118" t="n">
        <f aca="false">VLOOKUP($A201,Table,MATCH(J$4,Curves,0))</f>
        <v>5</v>
      </c>
      <c r="K201" s="119" t="n">
        <f aca="false">J201+$K$7</f>
        <v>5</v>
      </c>
      <c r="L201" s="120" t="n">
        <f aca="false">K201</f>
        <v>5</v>
      </c>
      <c r="M201" s="118" t="n">
        <f aca="false">VLOOKUP($A201,Table,MATCH(M$4,Curves,0))</f>
        <v>5</v>
      </c>
      <c r="N201" s="119" t="n">
        <f aca="false">M201+$N$7</f>
        <v>5</v>
      </c>
      <c r="O201" s="120" t="n">
        <f aca="false">N201</f>
        <v>5</v>
      </c>
      <c r="P201" s="109"/>
      <c r="Q201" s="120" t="n">
        <f aca="false">IF($F$3=1,M201+J201+G201,J201+G201)</f>
        <v>8</v>
      </c>
      <c r="R201" s="120" t="n">
        <f aca="false">IF($F$3=1,N201+K201+H201,K201+H201)</f>
        <v>8</v>
      </c>
      <c r="S201" s="120" t="n">
        <f aca="false">IF($F$3=1,O201+L201+I201,L201+I201)</f>
        <v>6.85</v>
      </c>
      <c r="T201" s="121"/>
      <c r="U201" s="67" t="n">
        <f aca="false">A202-A201</f>
        <v>31</v>
      </c>
      <c r="V201" s="122" t="n">
        <f aca="false">CHOOSE(F$3,A202+24,A201)</f>
        <v>43070</v>
      </c>
      <c r="W201" s="67" t="n">
        <f aca="false">V201-C$3</f>
        <v>-2856</v>
      </c>
      <c r="X201" s="118" t="n">
        <f aca="false">VLOOKUP($A201,Table,MATCH(X$4,Curves,0))</f>
        <v>2</v>
      </c>
      <c r="Y201" s="123" t="n">
        <f aca="false">1/(1+CHOOSE(F$3,(X202+($K$3/10000))/2,(X201+($K$3/10000))/2))^(2*W201/365.25)</f>
        <v>51013.9324577942</v>
      </c>
      <c r="Z201" s="67" t="n">
        <f aca="false">IF(AND(mthbeg&lt;=A201,mthend&gt;=A201),1,0)</f>
        <v>0</v>
      </c>
      <c r="AA201" s="67" t="n">
        <f aca="false">U201*Z201</f>
        <v>0</v>
      </c>
      <c r="AC201" s="110" t="n">
        <f aca="false">F201*(H201-I201)</f>
        <v>0</v>
      </c>
      <c r="AD201" s="49"/>
      <c r="AE201" s="124"/>
    </row>
    <row r="202" customFormat="false" ht="12" hidden="false" customHeight="true" outlineLevel="0" collapsed="false">
      <c r="A202" s="115" t="n">
        <f aca="false">EDATE(A201,1)</f>
        <v>43101</v>
      </c>
      <c r="B202" s="116" t="n">
        <f aca="false">'Inputs-Summary'!$B$7</f>
        <v>3017157.21662952</v>
      </c>
      <c r="C202" s="57"/>
      <c r="D202" s="117" t="n">
        <f aca="false">B202+C202</f>
        <v>3017157.21662952</v>
      </c>
      <c r="E202" s="106" t="n">
        <f aca="false">IF(Z202=0,0,IF(AND(Z202=1,$H$3=1),D202*U202,IF($H$3=2,D202,"N/A")))</f>
        <v>0</v>
      </c>
      <c r="F202" s="106" t="n">
        <f aca="false">E202*Y202</f>
        <v>0</v>
      </c>
      <c r="G202" s="118" t="n">
        <f aca="false">VLOOKUP($A202,Table,MATCH(G$4,Curves,0))</f>
        <v>3</v>
      </c>
      <c r="H202" s="119" t="n">
        <f aca="false">G202+$H$7</f>
        <v>3</v>
      </c>
      <c r="I202" s="118" t="n">
        <f aca="false">'Inputs-Summary'!$B$16</f>
        <v>1.85</v>
      </c>
      <c r="J202" s="118" t="n">
        <f aca="false">VLOOKUP($A202,Table,MATCH(J$4,Curves,0))</f>
        <v>5</v>
      </c>
      <c r="K202" s="119" t="n">
        <f aca="false">J202+$K$7</f>
        <v>5</v>
      </c>
      <c r="L202" s="120" t="n">
        <f aca="false">K202</f>
        <v>5</v>
      </c>
      <c r="M202" s="118" t="n">
        <f aca="false">VLOOKUP($A202,Table,MATCH(M$4,Curves,0))</f>
        <v>5</v>
      </c>
      <c r="N202" s="119" t="n">
        <f aca="false">M202+$N$7</f>
        <v>5</v>
      </c>
      <c r="O202" s="120" t="n">
        <f aca="false">N202</f>
        <v>5</v>
      </c>
      <c r="P202" s="109"/>
      <c r="Q202" s="120" t="n">
        <f aca="false">IF($F$3=1,M202+J202+G202,J202+G202)</f>
        <v>8</v>
      </c>
      <c r="R202" s="120" t="n">
        <f aca="false">IF($F$3=1,N202+K202+H202,K202+H202)</f>
        <v>8</v>
      </c>
      <c r="S202" s="120" t="n">
        <f aca="false">IF($F$3=1,O202+L202+I202,L202+I202)</f>
        <v>6.85</v>
      </c>
      <c r="T202" s="121"/>
      <c r="U202" s="67" t="n">
        <f aca="false">A203-A202</f>
        <v>31</v>
      </c>
      <c r="V202" s="122" t="n">
        <f aca="false">CHOOSE(F$3,A203+24,A202)</f>
        <v>43101</v>
      </c>
      <c r="W202" s="67" t="n">
        <f aca="false">V202-C$3</f>
        <v>-2825</v>
      </c>
      <c r="X202" s="118" t="n">
        <f aca="false">VLOOKUP($A202,Table,MATCH(X$4,Curves,0))</f>
        <v>2</v>
      </c>
      <c r="Y202" s="123" t="n">
        <f aca="false">1/(1+CHOOSE(F$3,(X203+($K$3/10000))/2,(X202+($K$3/10000))/2))^(2*W202/365.25)</f>
        <v>45351.3207908337</v>
      </c>
      <c r="Z202" s="67" t="n">
        <f aca="false">IF(AND(mthbeg&lt;=A202,mthend&gt;=A202),1,0)</f>
        <v>0</v>
      </c>
      <c r="AA202" s="67" t="n">
        <f aca="false">U202*Z202</f>
        <v>0</v>
      </c>
      <c r="AC202" s="110" t="n">
        <f aca="false">F202*(H202-I202)</f>
        <v>0</v>
      </c>
      <c r="AD202" s="49"/>
      <c r="AE202" s="124"/>
    </row>
    <row r="203" customFormat="false" ht="12" hidden="false" customHeight="true" outlineLevel="0" collapsed="false">
      <c r="A203" s="115" t="n">
        <f aca="false">EDATE(A202,1)</f>
        <v>43132</v>
      </c>
      <c r="B203" s="116" t="n">
        <f aca="false">'Inputs-Summary'!$B$7</f>
        <v>3017157.21662952</v>
      </c>
      <c r="C203" s="57"/>
      <c r="D203" s="117" t="n">
        <f aca="false">B203+C203</f>
        <v>3017157.21662952</v>
      </c>
      <c r="E203" s="106" t="n">
        <f aca="false">IF(Z203=0,0,IF(AND(Z203=1,$H$3=1),D203*U203,IF($H$3=2,D203,"N/A")))</f>
        <v>0</v>
      </c>
      <c r="F203" s="106" t="n">
        <f aca="false">E203*Y203</f>
        <v>0</v>
      </c>
      <c r="G203" s="118" t="n">
        <f aca="false">VLOOKUP($A203,Table,MATCH(G$4,Curves,0))</f>
        <v>3</v>
      </c>
      <c r="H203" s="119" t="n">
        <f aca="false">G203+$H$7</f>
        <v>3</v>
      </c>
      <c r="I203" s="118" t="n">
        <f aca="false">'Inputs-Summary'!$B$16</f>
        <v>1.85</v>
      </c>
      <c r="J203" s="118" t="n">
        <f aca="false">VLOOKUP($A203,Table,MATCH(J$4,Curves,0))</f>
        <v>5</v>
      </c>
      <c r="K203" s="119" t="n">
        <f aca="false">J203+$K$7</f>
        <v>5</v>
      </c>
      <c r="L203" s="120" t="n">
        <f aca="false">K203</f>
        <v>5</v>
      </c>
      <c r="M203" s="118" t="n">
        <f aca="false">VLOOKUP($A203,Table,MATCH(M$4,Curves,0))</f>
        <v>5</v>
      </c>
      <c r="N203" s="119" t="n">
        <f aca="false">M203+$N$7</f>
        <v>5</v>
      </c>
      <c r="O203" s="120" t="n">
        <f aca="false">N203</f>
        <v>5</v>
      </c>
      <c r="P203" s="109"/>
      <c r="Q203" s="120" t="n">
        <f aca="false">IF($F$3=1,M203+J203+G203,J203+G203)</f>
        <v>8</v>
      </c>
      <c r="R203" s="120" t="n">
        <f aca="false">IF($F$3=1,N203+K203+H203,K203+H203)</f>
        <v>8</v>
      </c>
      <c r="S203" s="120" t="n">
        <f aca="false">IF($F$3=1,O203+L203+I203,L203+I203)</f>
        <v>6.85</v>
      </c>
      <c r="T203" s="121"/>
      <c r="U203" s="67" t="n">
        <f aca="false">A204-A203</f>
        <v>28</v>
      </c>
      <c r="V203" s="122" t="n">
        <f aca="false">CHOOSE(F$3,A204+24,A203)</f>
        <v>43132</v>
      </c>
      <c r="W203" s="67" t="n">
        <f aca="false">V203-C$3</f>
        <v>-2794</v>
      </c>
      <c r="X203" s="118" t="n">
        <f aca="false">VLOOKUP($A203,Table,MATCH(X$4,Curves,0))</f>
        <v>2</v>
      </c>
      <c r="Y203" s="123" t="n">
        <f aca="false">1/(1+CHOOSE(F$3,(X204+($K$3/10000))/2,(X203+($K$3/10000))/2))^(2*W203/365.25)</f>
        <v>40317.2662522093</v>
      </c>
      <c r="Z203" s="67" t="n">
        <f aca="false">IF(AND(mthbeg&lt;=A203,mthend&gt;=A203),1,0)</f>
        <v>0</v>
      </c>
      <c r="AA203" s="67" t="n">
        <f aca="false">U203*Z203</f>
        <v>0</v>
      </c>
      <c r="AC203" s="110" t="n">
        <f aca="false">F203*(H203-I203)</f>
        <v>0</v>
      </c>
      <c r="AD203" s="49"/>
      <c r="AE203" s="124"/>
    </row>
    <row r="204" customFormat="false" ht="12" hidden="false" customHeight="true" outlineLevel="0" collapsed="false">
      <c r="A204" s="115" t="n">
        <f aca="false">EDATE(A203,1)</f>
        <v>43160</v>
      </c>
      <c r="B204" s="116" t="n">
        <f aca="false">'Inputs-Summary'!$B$7</f>
        <v>3017157.21662952</v>
      </c>
      <c r="C204" s="57"/>
      <c r="D204" s="117" t="n">
        <f aca="false">B204+C204</f>
        <v>3017157.21662952</v>
      </c>
      <c r="E204" s="106" t="n">
        <f aca="false">IF(Z204=0,0,IF(AND(Z204=1,$H$3=1),D204*U204,IF($H$3=2,D204,"N/A")))</f>
        <v>0</v>
      </c>
      <c r="F204" s="106" t="n">
        <f aca="false">E204*Y204</f>
        <v>0</v>
      </c>
      <c r="G204" s="118" t="n">
        <f aca="false">VLOOKUP($A204,Table,MATCH(G$4,Curves,0))</f>
        <v>3</v>
      </c>
      <c r="H204" s="119" t="n">
        <f aca="false">G204+$H$7</f>
        <v>3</v>
      </c>
      <c r="I204" s="118" t="n">
        <f aca="false">'Inputs-Summary'!$B$16</f>
        <v>1.85</v>
      </c>
      <c r="J204" s="118" t="n">
        <f aca="false">VLOOKUP($A204,Table,MATCH(J$4,Curves,0))</f>
        <v>5</v>
      </c>
      <c r="K204" s="119" t="n">
        <f aca="false">J204+$K$7</f>
        <v>5</v>
      </c>
      <c r="L204" s="120" t="n">
        <f aca="false">K204</f>
        <v>5</v>
      </c>
      <c r="M204" s="118" t="n">
        <f aca="false">VLOOKUP($A204,Table,MATCH(M$4,Curves,0))</f>
        <v>5</v>
      </c>
      <c r="N204" s="119" t="n">
        <f aca="false">M204+$N$7</f>
        <v>5</v>
      </c>
      <c r="O204" s="120" t="n">
        <f aca="false">N204</f>
        <v>5</v>
      </c>
      <c r="P204" s="109"/>
      <c r="Q204" s="120" t="n">
        <f aca="false">IF($F$3=1,M204+J204+G204,J204+G204)</f>
        <v>8</v>
      </c>
      <c r="R204" s="120" t="n">
        <f aca="false">IF($F$3=1,N204+K204+H204,K204+H204)</f>
        <v>8</v>
      </c>
      <c r="S204" s="120" t="n">
        <f aca="false">IF($F$3=1,O204+L204+I204,L204+I204)</f>
        <v>6.85</v>
      </c>
      <c r="T204" s="121"/>
      <c r="U204" s="67" t="n">
        <f aca="false">A205-A204</f>
        <v>31</v>
      </c>
      <c r="V204" s="122" t="n">
        <f aca="false">CHOOSE(F$3,A205+24,A204)</f>
        <v>43160</v>
      </c>
      <c r="W204" s="67" t="n">
        <f aca="false">V204-C$3</f>
        <v>-2766</v>
      </c>
      <c r="X204" s="118" t="n">
        <f aca="false">VLOOKUP($A204,Table,MATCH(X$4,Curves,0))</f>
        <v>2</v>
      </c>
      <c r="Y204" s="123" t="n">
        <f aca="false">1/(1+CHOOSE(F$3,(X205+($K$3/10000))/2,(X204+($K$3/10000))/2))^(2*W204/365.25)</f>
        <v>36252.4418772112</v>
      </c>
      <c r="Z204" s="67" t="n">
        <f aca="false">IF(AND(mthbeg&lt;=A204,mthend&gt;=A204),1,0)</f>
        <v>0</v>
      </c>
      <c r="AA204" s="67" t="n">
        <f aca="false">U204*Z204</f>
        <v>0</v>
      </c>
      <c r="AC204" s="110" t="n">
        <f aca="false">F204*(H204-I204)</f>
        <v>0</v>
      </c>
      <c r="AD204" s="49"/>
      <c r="AE204" s="124"/>
    </row>
    <row r="205" customFormat="false" ht="12" hidden="false" customHeight="true" outlineLevel="0" collapsed="false">
      <c r="A205" s="115" t="n">
        <f aca="false">EDATE(A204,1)</f>
        <v>43191</v>
      </c>
      <c r="B205" s="116" t="n">
        <f aca="false">'Inputs-Summary'!$B$7</f>
        <v>3017157.21662952</v>
      </c>
      <c r="C205" s="57"/>
      <c r="D205" s="117" t="n">
        <f aca="false">B205+C205</f>
        <v>3017157.21662952</v>
      </c>
      <c r="E205" s="106" t="n">
        <f aca="false">IF(Z205=0,0,IF(AND(Z205=1,$H$3=1),D205*U205,IF($H$3=2,D205,"N/A")))</f>
        <v>0</v>
      </c>
      <c r="F205" s="106" t="n">
        <f aca="false">E205*Y205</f>
        <v>0</v>
      </c>
      <c r="G205" s="118" t="n">
        <f aca="false">VLOOKUP($A205,Table,MATCH(G$4,Curves,0))</f>
        <v>3</v>
      </c>
      <c r="H205" s="119" t="n">
        <f aca="false">G205+$H$7</f>
        <v>3</v>
      </c>
      <c r="I205" s="118" t="n">
        <f aca="false">'Inputs-Summary'!$B$16</f>
        <v>1.85</v>
      </c>
      <c r="J205" s="118" t="n">
        <f aca="false">VLOOKUP($A205,Table,MATCH(J$4,Curves,0))</f>
        <v>5</v>
      </c>
      <c r="K205" s="119" t="n">
        <f aca="false">J205+$K$7</f>
        <v>5</v>
      </c>
      <c r="L205" s="120" t="n">
        <f aca="false">K205</f>
        <v>5</v>
      </c>
      <c r="M205" s="118" t="n">
        <f aca="false">VLOOKUP($A205,Table,MATCH(M$4,Curves,0))</f>
        <v>5</v>
      </c>
      <c r="N205" s="119" t="n">
        <f aca="false">M205+$N$7</f>
        <v>5</v>
      </c>
      <c r="O205" s="120" t="n">
        <f aca="false">N205</f>
        <v>5</v>
      </c>
      <c r="P205" s="109"/>
      <c r="Q205" s="120" t="n">
        <f aca="false">IF($F$3=1,M205+J205+G205,J205+G205)</f>
        <v>8</v>
      </c>
      <c r="R205" s="120" t="n">
        <f aca="false">IF($F$3=1,N205+K205+H205,K205+H205)</f>
        <v>8</v>
      </c>
      <c r="S205" s="120" t="n">
        <f aca="false">IF($F$3=1,O205+L205+I205,L205+I205)</f>
        <v>6.85</v>
      </c>
      <c r="T205" s="121"/>
      <c r="U205" s="67" t="n">
        <f aca="false">A206-A205</f>
        <v>30</v>
      </c>
      <c r="V205" s="122" t="n">
        <f aca="false">CHOOSE(F$3,A206+24,A205)</f>
        <v>43191</v>
      </c>
      <c r="W205" s="67" t="n">
        <f aca="false">V205-C$3</f>
        <v>-2735</v>
      </c>
      <c r="X205" s="118" t="n">
        <f aca="false">VLOOKUP($A205,Table,MATCH(X$4,Curves,0))</f>
        <v>2</v>
      </c>
      <c r="Y205" s="123" t="n">
        <f aca="false">1/(1+CHOOSE(F$3,(X206+($K$3/10000))/2,(X205+($K$3/10000))/2))^(2*W205/365.25)</f>
        <v>32228.3745207191</v>
      </c>
      <c r="Z205" s="67" t="n">
        <f aca="false">IF(AND(mthbeg&lt;=A205,mthend&gt;=A205),1,0)</f>
        <v>0</v>
      </c>
      <c r="AA205" s="67" t="n">
        <f aca="false">U205*Z205</f>
        <v>0</v>
      </c>
      <c r="AC205" s="110" t="n">
        <f aca="false">F205*(H205-I205)</f>
        <v>0</v>
      </c>
      <c r="AD205" s="49"/>
      <c r="AE205" s="124"/>
    </row>
    <row r="206" customFormat="false" ht="12" hidden="false" customHeight="true" outlineLevel="0" collapsed="false">
      <c r="A206" s="115" t="n">
        <f aca="false">EDATE(A205,1)</f>
        <v>43221</v>
      </c>
      <c r="B206" s="116" t="n">
        <f aca="false">'Inputs-Summary'!$B$7</f>
        <v>3017157.21662952</v>
      </c>
      <c r="C206" s="57"/>
      <c r="D206" s="117" t="n">
        <f aca="false">B206+C206</f>
        <v>3017157.21662952</v>
      </c>
      <c r="E206" s="106" t="n">
        <f aca="false">IF(Z206=0,0,IF(AND(Z206=1,$H$3=1),D206*U206,IF($H$3=2,D206,"N/A")))</f>
        <v>0</v>
      </c>
      <c r="F206" s="106" t="n">
        <f aca="false">E206*Y206</f>
        <v>0</v>
      </c>
      <c r="G206" s="118" t="n">
        <f aca="false">VLOOKUP($A206,Table,MATCH(G$4,Curves,0))</f>
        <v>3</v>
      </c>
      <c r="H206" s="119" t="n">
        <f aca="false">G206+$H$7</f>
        <v>3</v>
      </c>
      <c r="I206" s="118" t="n">
        <f aca="false">'Inputs-Summary'!$B$16</f>
        <v>1.85</v>
      </c>
      <c r="J206" s="118" t="n">
        <f aca="false">VLOOKUP($A206,Table,MATCH(J$4,Curves,0))</f>
        <v>5</v>
      </c>
      <c r="K206" s="119" t="n">
        <f aca="false">J206+$K$7</f>
        <v>5</v>
      </c>
      <c r="L206" s="120" t="n">
        <f aca="false">K206</f>
        <v>5</v>
      </c>
      <c r="M206" s="118" t="n">
        <f aca="false">VLOOKUP($A206,Table,MATCH(M$4,Curves,0))</f>
        <v>5</v>
      </c>
      <c r="N206" s="119" t="n">
        <f aca="false">M206+$N$7</f>
        <v>5</v>
      </c>
      <c r="O206" s="120" t="n">
        <f aca="false">N206</f>
        <v>5</v>
      </c>
      <c r="P206" s="109"/>
      <c r="Q206" s="120" t="n">
        <f aca="false">IF($F$3=1,M206+J206+G206,J206+G206)</f>
        <v>8</v>
      </c>
      <c r="R206" s="120" t="n">
        <f aca="false">IF($F$3=1,N206+K206+H206,K206+H206)</f>
        <v>8</v>
      </c>
      <c r="S206" s="120" t="n">
        <f aca="false">IF($F$3=1,O206+L206+I206,L206+I206)</f>
        <v>6.85</v>
      </c>
      <c r="T206" s="121"/>
      <c r="U206" s="67" t="n">
        <f aca="false">A207-A206</f>
        <v>31</v>
      </c>
      <c r="V206" s="122" t="n">
        <f aca="false">CHOOSE(F$3,A207+24,A206)</f>
        <v>43221</v>
      </c>
      <c r="W206" s="67" t="n">
        <f aca="false">V206-C$3</f>
        <v>-2705</v>
      </c>
      <c r="X206" s="118" t="n">
        <f aca="false">VLOOKUP($A206,Table,MATCH(X$4,Curves,0))</f>
        <v>2</v>
      </c>
      <c r="Y206" s="123" t="n">
        <f aca="false">1/(1+CHOOSE(F$3,(X207+($K$3/10000))/2,(X206+($K$3/10000))/2))^(2*W206/365.25)</f>
        <v>28759.9342758236</v>
      </c>
      <c r="Z206" s="67" t="n">
        <f aca="false">IF(AND(mthbeg&lt;=A206,mthend&gt;=A206),1,0)</f>
        <v>0</v>
      </c>
      <c r="AA206" s="67" t="n">
        <f aca="false">U206*Z206</f>
        <v>0</v>
      </c>
      <c r="AC206" s="110" t="n">
        <f aca="false">F206*(H206-I206)</f>
        <v>0</v>
      </c>
      <c r="AD206" s="49"/>
      <c r="AE206" s="124"/>
    </row>
    <row r="207" customFormat="false" ht="12" hidden="false" customHeight="true" outlineLevel="0" collapsed="false">
      <c r="A207" s="115" t="n">
        <f aca="false">EDATE(A206,1)</f>
        <v>43252</v>
      </c>
      <c r="B207" s="116" t="n">
        <f aca="false">'Inputs-Summary'!$B$7</f>
        <v>3017157.21662952</v>
      </c>
      <c r="C207" s="57"/>
      <c r="D207" s="117" t="n">
        <f aca="false">B207+C207</f>
        <v>3017157.21662952</v>
      </c>
      <c r="E207" s="106" t="n">
        <f aca="false">IF(Z207=0,0,IF(AND(Z207=1,$H$3=1),D207*U207,IF($H$3=2,D207,"N/A")))</f>
        <v>0</v>
      </c>
      <c r="F207" s="106" t="n">
        <f aca="false">E207*Y207</f>
        <v>0</v>
      </c>
      <c r="G207" s="118" t="n">
        <f aca="false">VLOOKUP($A207,Table,MATCH(G$4,Curves,0))</f>
        <v>3</v>
      </c>
      <c r="H207" s="119" t="n">
        <f aca="false">G207+$H$7</f>
        <v>3</v>
      </c>
      <c r="I207" s="118" t="n">
        <f aca="false">'Inputs-Summary'!$B$16</f>
        <v>1.85</v>
      </c>
      <c r="J207" s="118" t="n">
        <f aca="false">VLOOKUP($A207,Table,MATCH(J$4,Curves,0))</f>
        <v>5</v>
      </c>
      <c r="K207" s="119" t="n">
        <f aca="false">J207+$K$7</f>
        <v>5</v>
      </c>
      <c r="L207" s="120" t="n">
        <f aca="false">K207</f>
        <v>5</v>
      </c>
      <c r="M207" s="118" t="n">
        <f aca="false">VLOOKUP($A207,Table,MATCH(M$4,Curves,0))</f>
        <v>5</v>
      </c>
      <c r="N207" s="119" t="n">
        <f aca="false">M207+$N$7</f>
        <v>5</v>
      </c>
      <c r="O207" s="120" t="n">
        <f aca="false">N207</f>
        <v>5</v>
      </c>
      <c r="P207" s="109"/>
      <c r="Q207" s="120" t="n">
        <f aca="false">IF($F$3=1,M207+J207+G207,J207+G207)</f>
        <v>8</v>
      </c>
      <c r="R207" s="120" t="n">
        <f aca="false">IF($F$3=1,N207+K207+H207,K207+H207)</f>
        <v>8</v>
      </c>
      <c r="S207" s="120" t="n">
        <f aca="false">IF($F$3=1,O207+L207+I207,L207+I207)</f>
        <v>6.85</v>
      </c>
      <c r="T207" s="121"/>
      <c r="U207" s="67" t="n">
        <f aca="false">A208-A207</f>
        <v>30</v>
      </c>
      <c r="V207" s="122" t="n">
        <f aca="false">CHOOSE(F$3,A208+24,A207)</f>
        <v>43252</v>
      </c>
      <c r="W207" s="67" t="n">
        <f aca="false">V207-C$3</f>
        <v>-2674</v>
      </c>
      <c r="X207" s="118" t="n">
        <f aca="false">VLOOKUP($A207,Table,MATCH(X$4,Curves,0))</f>
        <v>2</v>
      </c>
      <c r="Y207" s="123" t="n">
        <f aca="false">1/(1+CHOOSE(F$3,(X208+($K$3/10000))/2,(X207+($K$3/10000))/2))^(2*W207/365.25)</f>
        <v>25567.5448338603</v>
      </c>
      <c r="Z207" s="67" t="n">
        <f aca="false">IF(AND(mthbeg&lt;=A207,mthend&gt;=A207),1,0)</f>
        <v>0</v>
      </c>
      <c r="AA207" s="67" t="n">
        <f aca="false">U207*Z207</f>
        <v>0</v>
      </c>
      <c r="AC207" s="110" t="n">
        <f aca="false">F207*(H207-I207)</f>
        <v>0</v>
      </c>
      <c r="AD207" s="49"/>
      <c r="AE207" s="124"/>
    </row>
    <row r="208" customFormat="false" ht="12" hidden="false" customHeight="true" outlineLevel="0" collapsed="false">
      <c r="A208" s="115" t="n">
        <f aca="false">EDATE(A207,1)</f>
        <v>43282</v>
      </c>
      <c r="B208" s="116" t="n">
        <f aca="false">'Inputs-Summary'!$B$7</f>
        <v>3017157.21662952</v>
      </c>
      <c r="C208" s="57"/>
      <c r="D208" s="117" t="n">
        <f aca="false">B208+C208</f>
        <v>3017157.21662952</v>
      </c>
      <c r="E208" s="106" t="n">
        <f aca="false">IF(Z208=0,0,IF(AND(Z208=1,$H$3=1),D208*U208,IF($H$3=2,D208,"N/A")))</f>
        <v>0</v>
      </c>
      <c r="F208" s="106" t="n">
        <f aca="false">E208*Y208</f>
        <v>0</v>
      </c>
      <c r="G208" s="118" t="n">
        <f aca="false">VLOOKUP($A208,Table,MATCH(G$4,Curves,0))</f>
        <v>3</v>
      </c>
      <c r="H208" s="119" t="n">
        <f aca="false">G208+$H$7</f>
        <v>3</v>
      </c>
      <c r="I208" s="118" t="n">
        <f aca="false">'Inputs-Summary'!$B$16</f>
        <v>1.85</v>
      </c>
      <c r="J208" s="118" t="n">
        <f aca="false">VLOOKUP($A208,Table,MATCH(J$4,Curves,0))</f>
        <v>5</v>
      </c>
      <c r="K208" s="119" t="n">
        <f aca="false">J208+$K$7</f>
        <v>5</v>
      </c>
      <c r="L208" s="120" t="n">
        <f aca="false">K208</f>
        <v>5</v>
      </c>
      <c r="M208" s="118" t="n">
        <f aca="false">VLOOKUP($A208,Table,MATCH(M$4,Curves,0))</f>
        <v>5</v>
      </c>
      <c r="N208" s="119" t="n">
        <f aca="false">M208+$N$7</f>
        <v>5</v>
      </c>
      <c r="O208" s="120" t="n">
        <f aca="false">N208</f>
        <v>5</v>
      </c>
      <c r="P208" s="109"/>
      <c r="Q208" s="120" t="n">
        <f aca="false">IF($F$3=1,M208+J208+G208,J208+G208)</f>
        <v>8</v>
      </c>
      <c r="R208" s="120" t="n">
        <f aca="false">IF($F$3=1,N208+K208+H208,K208+H208)</f>
        <v>8</v>
      </c>
      <c r="S208" s="120" t="n">
        <f aca="false">IF($F$3=1,O208+L208+I208,L208+I208)</f>
        <v>6.85</v>
      </c>
      <c r="T208" s="121"/>
      <c r="U208" s="67" t="n">
        <f aca="false">A209-A208</f>
        <v>31</v>
      </c>
      <c r="V208" s="122" t="n">
        <f aca="false">CHOOSE(F$3,A209+24,A208)</f>
        <v>43282</v>
      </c>
      <c r="W208" s="67" t="n">
        <f aca="false">V208-C$3</f>
        <v>-2644</v>
      </c>
      <c r="X208" s="118" t="n">
        <f aca="false">VLOOKUP($A208,Table,MATCH(X$4,Curves,0))</f>
        <v>2</v>
      </c>
      <c r="Y208" s="123" t="n">
        <f aca="false">1/(1+CHOOSE(F$3,(X209+($K$3/10000))/2,(X208+($K$3/10000))/2))^(2*W208/365.25)</f>
        <v>22815.9477463956</v>
      </c>
      <c r="Z208" s="67" t="n">
        <f aca="false">IF(AND(mthbeg&lt;=A208,mthend&gt;=A208),1,0)</f>
        <v>0</v>
      </c>
      <c r="AA208" s="67" t="n">
        <f aca="false">U208*Z208</f>
        <v>0</v>
      </c>
      <c r="AC208" s="110" t="n">
        <f aca="false">F208*(H208-I208)</f>
        <v>0</v>
      </c>
      <c r="AD208" s="49"/>
      <c r="AE208" s="124"/>
    </row>
    <row r="209" customFormat="false" ht="12" hidden="false" customHeight="true" outlineLevel="0" collapsed="false">
      <c r="A209" s="115" t="n">
        <f aca="false">EDATE(A208,1)</f>
        <v>43313</v>
      </c>
      <c r="B209" s="116" t="n">
        <f aca="false">'Inputs-Summary'!$B$7</f>
        <v>3017157.21662952</v>
      </c>
      <c r="C209" s="57"/>
      <c r="D209" s="117" t="n">
        <f aca="false">B209+C209</f>
        <v>3017157.21662952</v>
      </c>
      <c r="E209" s="106" t="n">
        <f aca="false">IF(Z209=0,0,IF(AND(Z209=1,$H$3=1),D209*U209,IF($H$3=2,D209,"N/A")))</f>
        <v>0</v>
      </c>
      <c r="F209" s="106" t="n">
        <f aca="false">E209*Y209</f>
        <v>0</v>
      </c>
      <c r="G209" s="118" t="n">
        <f aca="false">VLOOKUP($A209,Table,MATCH(G$4,Curves,0))</f>
        <v>3</v>
      </c>
      <c r="H209" s="119" t="n">
        <f aca="false">G209+$H$7</f>
        <v>3</v>
      </c>
      <c r="I209" s="118" t="n">
        <f aca="false">'Inputs-Summary'!$B$16</f>
        <v>1.85</v>
      </c>
      <c r="J209" s="118" t="n">
        <f aca="false">VLOOKUP($A209,Table,MATCH(J$4,Curves,0))</f>
        <v>5</v>
      </c>
      <c r="K209" s="119" t="n">
        <f aca="false">J209+$K$7</f>
        <v>5</v>
      </c>
      <c r="L209" s="120" t="n">
        <f aca="false">K209</f>
        <v>5</v>
      </c>
      <c r="M209" s="118" t="n">
        <f aca="false">VLOOKUP($A209,Table,MATCH(M$4,Curves,0))</f>
        <v>5</v>
      </c>
      <c r="N209" s="119" t="n">
        <f aca="false">M209+$N$7</f>
        <v>5</v>
      </c>
      <c r="O209" s="120" t="n">
        <f aca="false">N209</f>
        <v>5</v>
      </c>
      <c r="P209" s="109"/>
      <c r="Q209" s="120" t="n">
        <f aca="false">IF($F$3=1,M209+J209+G209,J209+G209)</f>
        <v>8</v>
      </c>
      <c r="R209" s="120" t="n">
        <f aca="false">IF($F$3=1,N209+K209+H209,K209+H209)</f>
        <v>8</v>
      </c>
      <c r="S209" s="120" t="n">
        <f aca="false">IF($F$3=1,O209+L209+I209,L209+I209)</f>
        <v>6.85</v>
      </c>
      <c r="T209" s="121"/>
      <c r="U209" s="67" t="n">
        <f aca="false">A210-A209</f>
        <v>31</v>
      </c>
      <c r="V209" s="122" t="n">
        <f aca="false">CHOOSE(F$3,A210+24,A209)</f>
        <v>43313</v>
      </c>
      <c r="W209" s="67" t="n">
        <f aca="false">V209-C$3</f>
        <v>-2613</v>
      </c>
      <c r="X209" s="118" t="n">
        <f aca="false">VLOOKUP($A209,Table,MATCH(X$4,Curves,0))</f>
        <v>2</v>
      </c>
      <c r="Y209" s="123" t="n">
        <f aca="false">1/(1+CHOOSE(F$3,(X210+($K$3/10000))/2,(X209+($K$3/10000))/2))^(2*W209/365.25)</f>
        <v>20283.3484019245</v>
      </c>
      <c r="Z209" s="67" t="n">
        <f aca="false">IF(AND(mthbeg&lt;=A209,mthend&gt;=A209),1,0)</f>
        <v>0</v>
      </c>
      <c r="AA209" s="67" t="n">
        <f aca="false">U209*Z209</f>
        <v>0</v>
      </c>
      <c r="AC209" s="110" t="n">
        <f aca="false">F209*(H209-I209)</f>
        <v>0</v>
      </c>
      <c r="AD209" s="49"/>
      <c r="AE209" s="124"/>
    </row>
    <row r="210" customFormat="false" ht="12" hidden="false" customHeight="true" outlineLevel="0" collapsed="false">
      <c r="A210" s="115" t="n">
        <f aca="false">EDATE(A209,1)</f>
        <v>43344</v>
      </c>
      <c r="B210" s="116" t="n">
        <f aca="false">'Inputs-Summary'!$B$7</f>
        <v>3017157.21662952</v>
      </c>
      <c r="C210" s="57"/>
      <c r="D210" s="117" t="n">
        <f aca="false">B210+C210</f>
        <v>3017157.21662952</v>
      </c>
      <c r="E210" s="106" t="n">
        <f aca="false">IF(Z210=0,0,IF(AND(Z210=1,$H$3=1),D210*U210,IF($H$3=2,D210,"N/A")))</f>
        <v>0</v>
      </c>
      <c r="F210" s="106" t="n">
        <f aca="false">E210*Y210</f>
        <v>0</v>
      </c>
      <c r="G210" s="118" t="n">
        <f aca="false">VLOOKUP($A210,Table,MATCH(G$4,Curves,0))</f>
        <v>3</v>
      </c>
      <c r="H210" s="119" t="n">
        <f aca="false">G210+$H$7</f>
        <v>3</v>
      </c>
      <c r="I210" s="118" t="n">
        <f aca="false">'Inputs-Summary'!$B$16</f>
        <v>1.85</v>
      </c>
      <c r="J210" s="118" t="n">
        <f aca="false">VLOOKUP($A210,Table,MATCH(J$4,Curves,0))</f>
        <v>5</v>
      </c>
      <c r="K210" s="119" t="n">
        <f aca="false">J210+$K$7</f>
        <v>5</v>
      </c>
      <c r="L210" s="120" t="n">
        <f aca="false">K210</f>
        <v>5</v>
      </c>
      <c r="M210" s="118" t="n">
        <f aca="false">VLOOKUP($A210,Table,MATCH(M$4,Curves,0))</f>
        <v>5</v>
      </c>
      <c r="N210" s="119" t="n">
        <f aca="false">M210+$N$7</f>
        <v>5</v>
      </c>
      <c r="O210" s="120" t="n">
        <f aca="false">N210</f>
        <v>5</v>
      </c>
      <c r="P210" s="109"/>
      <c r="Q210" s="120" t="n">
        <f aca="false">IF($F$3=1,M210+J210+G210,J210+G210)</f>
        <v>8</v>
      </c>
      <c r="R210" s="120" t="n">
        <f aca="false">IF($F$3=1,N210+K210+H210,K210+H210)</f>
        <v>8</v>
      </c>
      <c r="S210" s="120" t="n">
        <f aca="false">IF($F$3=1,O210+L210+I210,L210+I210)</f>
        <v>6.85</v>
      </c>
      <c r="T210" s="121"/>
      <c r="U210" s="67" t="n">
        <f aca="false">A211-A210</f>
        <v>30</v>
      </c>
      <c r="V210" s="122" t="n">
        <f aca="false">CHOOSE(F$3,A211+24,A210)</f>
        <v>43344</v>
      </c>
      <c r="W210" s="67" t="n">
        <f aca="false">V210-C$3</f>
        <v>-2582</v>
      </c>
      <c r="X210" s="118" t="n">
        <f aca="false">VLOOKUP($A210,Table,MATCH(X$4,Curves,0))</f>
        <v>2</v>
      </c>
      <c r="Y210" s="123" t="n">
        <f aca="false">1/(1+CHOOSE(F$3,(X211+($K$3/10000))/2,(X210+($K$3/10000))/2))^(2*W210/365.25)</f>
        <v>18031.87081978</v>
      </c>
      <c r="Z210" s="67" t="n">
        <f aca="false">IF(AND(mthbeg&lt;=A210,mthend&gt;=A210),1,0)</f>
        <v>0</v>
      </c>
      <c r="AA210" s="67" t="n">
        <f aca="false">U210*Z210</f>
        <v>0</v>
      </c>
      <c r="AC210" s="110" t="n">
        <f aca="false">F210*(H210-I210)</f>
        <v>0</v>
      </c>
      <c r="AD210" s="49"/>
      <c r="AE210" s="124"/>
    </row>
    <row r="211" customFormat="false" ht="12" hidden="false" customHeight="true" outlineLevel="0" collapsed="false">
      <c r="A211" s="115" t="n">
        <f aca="false">EDATE(A210,1)</f>
        <v>43374</v>
      </c>
      <c r="B211" s="116" t="n">
        <f aca="false">'Inputs-Summary'!$B$7</f>
        <v>3017157.21662952</v>
      </c>
      <c r="C211" s="57"/>
      <c r="D211" s="117" t="n">
        <f aca="false">B211+C211</f>
        <v>3017157.21662952</v>
      </c>
      <c r="E211" s="106" t="n">
        <f aca="false">IF(Z211=0,0,IF(AND(Z211=1,$H$3=1),D211*U211,IF($H$3=2,D211,"N/A")))</f>
        <v>0</v>
      </c>
      <c r="F211" s="106" t="n">
        <f aca="false">E211*Y211</f>
        <v>0</v>
      </c>
      <c r="G211" s="118" t="n">
        <f aca="false">VLOOKUP($A211,Table,MATCH(G$4,Curves,0))</f>
        <v>3</v>
      </c>
      <c r="H211" s="119" t="n">
        <f aca="false">G211+$H$7</f>
        <v>3</v>
      </c>
      <c r="I211" s="118" t="n">
        <f aca="false">'Inputs-Summary'!$B$16</f>
        <v>1.85</v>
      </c>
      <c r="J211" s="118" t="n">
        <f aca="false">VLOOKUP($A211,Table,MATCH(J$4,Curves,0))</f>
        <v>5</v>
      </c>
      <c r="K211" s="119" t="n">
        <f aca="false">J211+$K$7</f>
        <v>5</v>
      </c>
      <c r="L211" s="120" t="n">
        <f aca="false">K211</f>
        <v>5</v>
      </c>
      <c r="M211" s="118" t="n">
        <f aca="false">VLOOKUP($A211,Table,MATCH(M$4,Curves,0))</f>
        <v>5</v>
      </c>
      <c r="N211" s="119" t="n">
        <f aca="false">M211+$N$7</f>
        <v>5</v>
      </c>
      <c r="O211" s="120" t="n">
        <f aca="false">N211</f>
        <v>5</v>
      </c>
      <c r="P211" s="109"/>
      <c r="Q211" s="120" t="n">
        <f aca="false">IF($F$3=1,M211+J211+G211,J211+G211)</f>
        <v>8</v>
      </c>
      <c r="R211" s="120" t="n">
        <f aca="false">IF($F$3=1,N211+K211+H211,K211+H211)</f>
        <v>8</v>
      </c>
      <c r="S211" s="120" t="n">
        <f aca="false">IF($F$3=1,O211+L211+I211,L211+I211)</f>
        <v>6.85</v>
      </c>
      <c r="T211" s="121"/>
      <c r="U211" s="67" t="n">
        <f aca="false">A212-A211</f>
        <v>31</v>
      </c>
      <c r="V211" s="122" t="n">
        <f aca="false">CHOOSE(F$3,A212+24,A211)</f>
        <v>43374</v>
      </c>
      <c r="W211" s="67" t="n">
        <f aca="false">V211-C$3</f>
        <v>-2552</v>
      </c>
      <c r="X211" s="118" t="n">
        <f aca="false">VLOOKUP($A211,Table,MATCH(X$4,Curves,0))</f>
        <v>2</v>
      </c>
      <c r="Y211" s="123" t="n">
        <f aca="false">1/(1+CHOOSE(F$3,(X212+($K$3/10000))/2,(X211+($K$3/10000))/2))^(2*W211/365.25)</f>
        <v>16091.2682491516</v>
      </c>
      <c r="Z211" s="67" t="n">
        <f aca="false">IF(AND(mthbeg&lt;=A211,mthend&gt;=A211),1,0)</f>
        <v>0</v>
      </c>
      <c r="AA211" s="67" t="n">
        <f aca="false">U211*Z211</f>
        <v>0</v>
      </c>
      <c r="AC211" s="110" t="n">
        <f aca="false">F211*(H211-I211)</f>
        <v>0</v>
      </c>
      <c r="AD211" s="49"/>
      <c r="AE211" s="124"/>
    </row>
    <row r="212" customFormat="false" ht="12" hidden="false" customHeight="true" outlineLevel="0" collapsed="false">
      <c r="A212" s="115" t="n">
        <f aca="false">EDATE(A211,1)</f>
        <v>43405</v>
      </c>
      <c r="B212" s="116" t="n">
        <f aca="false">'Inputs-Summary'!$B$7</f>
        <v>3017157.21662952</v>
      </c>
      <c r="C212" s="57"/>
      <c r="D212" s="117" t="n">
        <f aca="false">B212+C212</f>
        <v>3017157.21662952</v>
      </c>
      <c r="E212" s="106" t="n">
        <f aca="false">IF(Z212=0,0,IF(AND(Z212=1,$H$3=1),D212*U212,IF($H$3=2,D212,"N/A")))</f>
        <v>0</v>
      </c>
      <c r="F212" s="106" t="n">
        <f aca="false">E212*Y212</f>
        <v>0</v>
      </c>
      <c r="G212" s="118" t="n">
        <f aca="false">VLOOKUP($A212,Table,MATCH(G$4,Curves,0))</f>
        <v>3</v>
      </c>
      <c r="H212" s="119" t="n">
        <f aca="false">G212+$H$7</f>
        <v>3</v>
      </c>
      <c r="I212" s="118" t="n">
        <f aca="false">'Inputs-Summary'!$B$16</f>
        <v>1.85</v>
      </c>
      <c r="J212" s="118" t="n">
        <f aca="false">VLOOKUP($A212,Table,MATCH(J$4,Curves,0))</f>
        <v>5</v>
      </c>
      <c r="K212" s="119" t="n">
        <f aca="false">J212+$K$7</f>
        <v>5</v>
      </c>
      <c r="L212" s="120" t="n">
        <f aca="false">K212</f>
        <v>5</v>
      </c>
      <c r="M212" s="118" t="n">
        <f aca="false">VLOOKUP($A212,Table,MATCH(M$4,Curves,0))</f>
        <v>5</v>
      </c>
      <c r="N212" s="119" t="n">
        <f aca="false">M212+$N$7</f>
        <v>5</v>
      </c>
      <c r="O212" s="120" t="n">
        <f aca="false">N212</f>
        <v>5</v>
      </c>
      <c r="P212" s="109"/>
      <c r="Q212" s="120" t="n">
        <f aca="false">IF($F$3=1,M212+J212+G212,J212+G212)</f>
        <v>8</v>
      </c>
      <c r="R212" s="120" t="n">
        <f aca="false">IF($F$3=1,N212+K212+H212,K212+H212)</f>
        <v>8</v>
      </c>
      <c r="S212" s="120" t="n">
        <f aca="false">IF($F$3=1,O212+L212+I212,L212+I212)</f>
        <v>6.85</v>
      </c>
      <c r="T212" s="121"/>
      <c r="U212" s="67" t="n">
        <f aca="false">A213-A212</f>
        <v>30</v>
      </c>
      <c r="V212" s="122" t="n">
        <f aca="false">CHOOSE(F$3,A213+24,A212)</f>
        <v>43405</v>
      </c>
      <c r="W212" s="67" t="n">
        <f aca="false">V212-C$3</f>
        <v>-2521</v>
      </c>
      <c r="X212" s="118" t="n">
        <f aca="false">VLOOKUP($A212,Table,MATCH(X$4,Curves,0))</f>
        <v>2</v>
      </c>
      <c r="Y212" s="123" t="n">
        <f aca="false">1/(1+CHOOSE(F$3,(X213+($K$3/10000))/2,(X212+($K$3/10000))/2))^(2*W212/365.25)</f>
        <v>14305.1169188415</v>
      </c>
      <c r="Z212" s="67" t="n">
        <f aca="false">IF(AND(mthbeg&lt;=A212,mthend&gt;=A212),1,0)</f>
        <v>0</v>
      </c>
      <c r="AA212" s="67" t="n">
        <f aca="false">U212*Z212</f>
        <v>0</v>
      </c>
      <c r="AC212" s="110" t="n">
        <f aca="false">F212*(H212-I212)</f>
        <v>0</v>
      </c>
      <c r="AD212" s="49"/>
      <c r="AE212" s="124"/>
    </row>
    <row r="213" customFormat="false" ht="12" hidden="false" customHeight="true" outlineLevel="0" collapsed="false">
      <c r="A213" s="115" t="n">
        <f aca="false">EDATE(A212,1)</f>
        <v>43435</v>
      </c>
      <c r="B213" s="116" t="n">
        <f aca="false">'Inputs-Summary'!$B$7</f>
        <v>3017157.21662952</v>
      </c>
      <c r="C213" s="57"/>
      <c r="D213" s="117" t="n">
        <f aca="false">B213+C213</f>
        <v>3017157.21662952</v>
      </c>
      <c r="E213" s="106" t="n">
        <f aca="false">IF(Z213=0,0,IF(AND(Z213=1,$H$3=1),D213*U213,IF($H$3=2,D213,"N/A")))</f>
        <v>0</v>
      </c>
      <c r="F213" s="106" t="n">
        <f aca="false">E213*Y213</f>
        <v>0</v>
      </c>
      <c r="G213" s="118" t="n">
        <f aca="false">VLOOKUP($A213,Table,MATCH(G$4,Curves,0))</f>
        <v>3</v>
      </c>
      <c r="H213" s="119" t="n">
        <f aca="false">G213+$H$7</f>
        <v>3</v>
      </c>
      <c r="I213" s="118" t="n">
        <f aca="false">'Inputs-Summary'!$B$16</f>
        <v>1.85</v>
      </c>
      <c r="J213" s="118" t="n">
        <f aca="false">VLOOKUP($A213,Table,MATCH(J$4,Curves,0))</f>
        <v>5</v>
      </c>
      <c r="K213" s="119" t="n">
        <f aca="false">J213+$K$7</f>
        <v>5</v>
      </c>
      <c r="L213" s="120" t="n">
        <f aca="false">K213</f>
        <v>5</v>
      </c>
      <c r="M213" s="118" t="n">
        <f aca="false">VLOOKUP($A213,Table,MATCH(M$4,Curves,0))</f>
        <v>5</v>
      </c>
      <c r="N213" s="119" t="n">
        <f aca="false">M213+$N$7</f>
        <v>5</v>
      </c>
      <c r="O213" s="120" t="n">
        <f aca="false">N213</f>
        <v>5</v>
      </c>
      <c r="P213" s="109"/>
      <c r="Q213" s="120" t="n">
        <f aca="false">IF($F$3=1,M213+J213+G213,J213+G213)</f>
        <v>8</v>
      </c>
      <c r="R213" s="120" t="n">
        <f aca="false">IF($F$3=1,N213+K213+H213,K213+H213)</f>
        <v>8</v>
      </c>
      <c r="S213" s="120" t="n">
        <f aca="false">IF($F$3=1,O213+L213+I213,L213+I213)</f>
        <v>6.85</v>
      </c>
      <c r="T213" s="121"/>
      <c r="U213" s="67" t="n">
        <f aca="false">A214-A213</f>
        <v>31</v>
      </c>
      <c r="V213" s="122" t="n">
        <f aca="false">CHOOSE(F$3,A214+24,A213)</f>
        <v>43435</v>
      </c>
      <c r="W213" s="67" t="n">
        <f aca="false">V213-C$3</f>
        <v>-2491</v>
      </c>
      <c r="X213" s="118" t="n">
        <f aca="false">VLOOKUP($A213,Table,MATCH(X$4,Curves,0))</f>
        <v>2</v>
      </c>
      <c r="Y213" s="123" t="n">
        <f aca="false">1/(1+CHOOSE(F$3,(X214+($K$3/10000))/2,(X213+($K$3/10000))/2))^(2*W213/365.25)</f>
        <v>12765.5902139701</v>
      </c>
      <c r="Z213" s="67" t="n">
        <f aca="false">IF(AND(mthbeg&lt;=A213,mthend&gt;=A213),1,0)</f>
        <v>0</v>
      </c>
      <c r="AA213" s="67" t="n">
        <f aca="false">U213*Z213</f>
        <v>0</v>
      </c>
      <c r="AC213" s="110" t="n">
        <f aca="false">F213*(H213-I213)</f>
        <v>0</v>
      </c>
      <c r="AD213" s="49"/>
      <c r="AE213" s="124"/>
    </row>
    <row r="214" customFormat="false" ht="12" hidden="false" customHeight="true" outlineLevel="0" collapsed="false">
      <c r="A214" s="115" t="n">
        <f aca="false">EDATE(A213,1)</f>
        <v>43466</v>
      </c>
      <c r="B214" s="116" t="n">
        <f aca="false">'Inputs-Summary'!$B$7</f>
        <v>3017157.21662952</v>
      </c>
      <c r="C214" s="57"/>
      <c r="D214" s="117" t="n">
        <f aca="false">B214+C214</f>
        <v>3017157.21662952</v>
      </c>
      <c r="E214" s="106" t="n">
        <f aca="false">IF(Z214=0,0,IF(AND(Z214=1,$H$3=1),D214*U214,IF($H$3=2,D214,"N/A")))</f>
        <v>0</v>
      </c>
      <c r="F214" s="106" t="n">
        <f aca="false">E214*Y214</f>
        <v>0</v>
      </c>
      <c r="G214" s="118" t="n">
        <f aca="false">VLOOKUP($A214,Table,MATCH(G$4,Curves,0))</f>
        <v>3</v>
      </c>
      <c r="H214" s="119" t="n">
        <f aca="false">G214+$H$7</f>
        <v>3</v>
      </c>
      <c r="I214" s="118" t="n">
        <f aca="false">'Inputs-Summary'!$B$16</f>
        <v>1.85</v>
      </c>
      <c r="J214" s="118" t="n">
        <f aca="false">VLOOKUP($A214,Table,MATCH(J$4,Curves,0))</f>
        <v>5</v>
      </c>
      <c r="K214" s="119" t="n">
        <f aca="false">J214+$K$7</f>
        <v>5</v>
      </c>
      <c r="L214" s="120" t="n">
        <f aca="false">K214</f>
        <v>5</v>
      </c>
      <c r="M214" s="118" t="n">
        <f aca="false">VLOOKUP($A214,Table,MATCH(M$4,Curves,0))</f>
        <v>5</v>
      </c>
      <c r="N214" s="119" t="n">
        <f aca="false">M214+$N$7</f>
        <v>5</v>
      </c>
      <c r="O214" s="120" t="n">
        <f aca="false">N214</f>
        <v>5</v>
      </c>
      <c r="P214" s="109"/>
      <c r="Q214" s="120" t="n">
        <f aca="false">IF($F$3=1,M214+J214+G214,J214+G214)</f>
        <v>8</v>
      </c>
      <c r="R214" s="120" t="n">
        <f aca="false">IF($F$3=1,N214+K214+H214,K214+H214)</f>
        <v>8</v>
      </c>
      <c r="S214" s="120" t="n">
        <f aca="false">IF($F$3=1,O214+L214+I214,L214+I214)</f>
        <v>6.85</v>
      </c>
      <c r="T214" s="121"/>
      <c r="U214" s="67" t="n">
        <f aca="false">A215-A214</f>
        <v>31</v>
      </c>
      <c r="V214" s="122" t="n">
        <f aca="false">CHOOSE(F$3,A215+24,A214)</f>
        <v>43466</v>
      </c>
      <c r="W214" s="67" t="n">
        <f aca="false">V214-C$3</f>
        <v>-2460</v>
      </c>
      <c r="X214" s="118" t="n">
        <f aca="false">VLOOKUP($A214,Table,MATCH(X$4,Curves,0))</f>
        <v>2</v>
      </c>
      <c r="Y214" s="123" t="n">
        <f aca="false">1/(1+CHOOSE(F$3,(X215+($K$3/10000))/2,(X214+($K$3/10000))/2))^(2*W214/365.25)</f>
        <v>11348.5933937177</v>
      </c>
      <c r="Z214" s="67" t="n">
        <f aca="false">IF(AND(mthbeg&lt;=A214,mthend&gt;=A214),1,0)</f>
        <v>0</v>
      </c>
      <c r="AA214" s="67" t="n">
        <f aca="false">U214*Z214</f>
        <v>0</v>
      </c>
      <c r="AC214" s="110" t="n">
        <f aca="false">F214*(H214-I214)</f>
        <v>0</v>
      </c>
      <c r="AD214" s="49"/>
      <c r="AE214" s="124"/>
    </row>
    <row r="215" customFormat="false" ht="12" hidden="false" customHeight="true" outlineLevel="0" collapsed="false">
      <c r="A215" s="115" t="n">
        <f aca="false">EDATE(A214,1)</f>
        <v>43497</v>
      </c>
      <c r="B215" s="116" t="n">
        <f aca="false">'Inputs-Summary'!$B$7</f>
        <v>3017157.21662952</v>
      </c>
      <c r="C215" s="57"/>
      <c r="D215" s="117" t="n">
        <f aca="false">B215+C215</f>
        <v>3017157.21662952</v>
      </c>
      <c r="E215" s="106" t="n">
        <f aca="false">IF(Z215=0,0,IF(AND(Z215=1,$H$3=1),D215*U215,IF($H$3=2,D215,"N/A")))</f>
        <v>0</v>
      </c>
      <c r="F215" s="106" t="n">
        <f aca="false">E215*Y215</f>
        <v>0</v>
      </c>
      <c r="G215" s="118" t="n">
        <f aca="false">VLOOKUP($A215,Table,MATCH(G$4,Curves,0))</f>
        <v>3</v>
      </c>
      <c r="H215" s="119" t="n">
        <f aca="false">G215+$H$7</f>
        <v>3</v>
      </c>
      <c r="I215" s="118" t="n">
        <f aca="false">'Inputs-Summary'!$B$16</f>
        <v>1.85</v>
      </c>
      <c r="J215" s="118" t="n">
        <f aca="false">VLOOKUP($A215,Table,MATCH(J$4,Curves,0))</f>
        <v>5</v>
      </c>
      <c r="K215" s="119" t="n">
        <f aca="false">J215+$K$7</f>
        <v>5</v>
      </c>
      <c r="L215" s="120" t="n">
        <f aca="false">K215</f>
        <v>5</v>
      </c>
      <c r="M215" s="118" t="n">
        <f aca="false">VLOOKUP($A215,Table,MATCH(M$4,Curves,0))</f>
        <v>5</v>
      </c>
      <c r="N215" s="119" t="n">
        <f aca="false">M215+$N$7</f>
        <v>5</v>
      </c>
      <c r="O215" s="120" t="n">
        <f aca="false">N215</f>
        <v>5</v>
      </c>
      <c r="P215" s="109"/>
      <c r="Q215" s="120" t="n">
        <f aca="false">IF($F$3=1,M215+J215+G215,J215+G215)</f>
        <v>8</v>
      </c>
      <c r="R215" s="120" t="n">
        <f aca="false">IF($F$3=1,N215+K215+H215,K215+H215)</f>
        <v>8</v>
      </c>
      <c r="S215" s="120" t="n">
        <f aca="false">IF($F$3=1,O215+L215+I215,L215+I215)</f>
        <v>6.85</v>
      </c>
      <c r="T215" s="121"/>
      <c r="U215" s="67" t="n">
        <f aca="false">A216-A215</f>
        <v>28</v>
      </c>
      <c r="V215" s="122" t="n">
        <f aca="false">CHOOSE(F$3,A216+24,A215)</f>
        <v>43497</v>
      </c>
      <c r="W215" s="67" t="n">
        <f aca="false">V215-C$3</f>
        <v>-2429</v>
      </c>
      <c r="X215" s="118" t="n">
        <f aca="false">VLOOKUP($A215,Table,MATCH(X$4,Curves,0))</f>
        <v>2</v>
      </c>
      <c r="Y215" s="123" t="n">
        <f aca="false">1/(1+CHOOSE(F$3,(X216+($K$3/10000))/2,(X215+($K$3/10000))/2))^(2*W215/365.25)</f>
        <v>10088.8850305559</v>
      </c>
      <c r="Z215" s="67" t="n">
        <f aca="false">IF(AND(mthbeg&lt;=A215,mthend&gt;=A215),1,0)</f>
        <v>0</v>
      </c>
      <c r="AA215" s="67" t="n">
        <f aca="false">U215*Z215</f>
        <v>0</v>
      </c>
      <c r="AC215" s="110" t="n">
        <f aca="false">F215*(H215-I215)</f>
        <v>0</v>
      </c>
      <c r="AD215" s="49"/>
      <c r="AE215" s="124"/>
    </row>
    <row r="216" customFormat="false" ht="12" hidden="false" customHeight="true" outlineLevel="0" collapsed="false">
      <c r="A216" s="115" t="n">
        <f aca="false">EDATE(A215,1)</f>
        <v>43525</v>
      </c>
      <c r="B216" s="116" t="n">
        <f aca="false">'Inputs-Summary'!$B$7</f>
        <v>3017157.21662952</v>
      </c>
      <c r="C216" s="57"/>
      <c r="D216" s="117" t="n">
        <f aca="false">B216+C216</f>
        <v>3017157.21662952</v>
      </c>
      <c r="E216" s="106" t="n">
        <f aca="false">IF(Z216=0,0,IF(AND(Z216=1,$H$3=1),D216*U216,IF($H$3=2,D216,"N/A")))</f>
        <v>0</v>
      </c>
      <c r="F216" s="106" t="n">
        <f aca="false">E216*Y216</f>
        <v>0</v>
      </c>
      <c r="G216" s="118" t="n">
        <f aca="false">VLOOKUP($A216,Table,MATCH(G$4,Curves,0))</f>
        <v>3</v>
      </c>
      <c r="H216" s="119" t="n">
        <f aca="false">G216+$H$7</f>
        <v>3</v>
      </c>
      <c r="I216" s="118" t="n">
        <f aca="false">'Inputs-Summary'!$B$16</f>
        <v>1.85</v>
      </c>
      <c r="J216" s="118" t="n">
        <f aca="false">VLOOKUP($A216,Table,MATCH(J$4,Curves,0))</f>
        <v>5</v>
      </c>
      <c r="K216" s="119" t="n">
        <f aca="false">J216+$K$7</f>
        <v>5</v>
      </c>
      <c r="L216" s="120" t="n">
        <f aca="false">K216</f>
        <v>5</v>
      </c>
      <c r="M216" s="118" t="n">
        <f aca="false">VLOOKUP($A216,Table,MATCH(M$4,Curves,0))</f>
        <v>5</v>
      </c>
      <c r="N216" s="119" t="n">
        <f aca="false">M216+$N$7</f>
        <v>5</v>
      </c>
      <c r="O216" s="120" t="n">
        <f aca="false">N216</f>
        <v>5</v>
      </c>
      <c r="P216" s="109"/>
      <c r="Q216" s="120" t="n">
        <f aca="false">IF($F$3=1,M216+J216+G216,J216+G216)</f>
        <v>8</v>
      </c>
      <c r="R216" s="120" t="n">
        <f aca="false">IF($F$3=1,N216+K216+H216,K216+H216)</f>
        <v>8</v>
      </c>
      <c r="S216" s="120" t="n">
        <f aca="false">IF($F$3=1,O216+L216+I216,L216+I216)</f>
        <v>6.85</v>
      </c>
      <c r="T216" s="121"/>
      <c r="U216" s="67" t="n">
        <f aca="false">A217-A216</f>
        <v>31</v>
      </c>
      <c r="V216" s="122" t="n">
        <f aca="false">CHOOSE(F$3,A217+24,A216)</f>
        <v>43525</v>
      </c>
      <c r="W216" s="67" t="n">
        <f aca="false">V216-C$3</f>
        <v>-2401</v>
      </c>
      <c r="X216" s="118" t="n">
        <f aca="false">VLOOKUP($A216,Table,MATCH(X$4,Curves,0))</f>
        <v>2</v>
      </c>
      <c r="Y216" s="123" t="n">
        <f aca="false">1/(1+CHOOSE(F$3,(X217+($K$3/10000))/2,(X216+($K$3/10000))/2))^(2*W216/365.25)</f>
        <v>9071.7142349911</v>
      </c>
      <c r="Z216" s="67" t="n">
        <f aca="false">IF(AND(mthbeg&lt;=A216,mthend&gt;=A216),1,0)</f>
        <v>0</v>
      </c>
      <c r="AA216" s="67" t="n">
        <f aca="false">U216*Z216</f>
        <v>0</v>
      </c>
      <c r="AC216" s="110" t="n">
        <f aca="false">F216*(H216-I216)</f>
        <v>0</v>
      </c>
      <c r="AD216" s="49"/>
      <c r="AE216" s="124"/>
    </row>
    <row r="217" customFormat="false" ht="12" hidden="false" customHeight="true" outlineLevel="0" collapsed="false">
      <c r="A217" s="115" t="n">
        <f aca="false">EDATE(A216,1)</f>
        <v>43556</v>
      </c>
      <c r="B217" s="116" t="n">
        <f aca="false">'Inputs-Summary'!$B$7</f>
        <v>3017157.21662952</v>
      </c>
      <c r="C217" s="57"/>
      <c r="D217" s="117" t="n">
        <f aca="false">B217+C217</f>
        <v>3017157.21662952</v>
      </c>
      <c r="E217" s="106" t="n">
        <f aca="false">IF(Z217=0,0,IF(AND(Z217=1,$H$3=1),D217*U217,IF($H$3=2,D217,"N/A")))</f>
        <v>0</v>
      </c>
      <c r="F217" s="106" t="n">
        <f aca="false">E217*Y217</f>
        <v>0</v>
      </c>
      <c r="G217" s="118" t="n">
        <f aca="false">VLOOKUP($A217,Table,MATCH(G$4,Curves,0))</f>
        <v>3</v>
      </c>
      <c r="H217" s="119" t="n">
        <f aca="false">G217+$H$7</f>
        <v>3</v>
      </c>
      <c r="I217" s="118" t="n">
        <f aca="false">'Inputs-Summary'!$B$16</f>
        <v>1.85</v>
      </c>
      <c r="J217" s="118" t="n">
        <f aca="false">VLOOKUP($A217,Table,MATCH(J$4,Curves,0))</f>
        <v>5</v>
      </c>
      <c r="K217" s="119" t="n">
        <f aca="false">J217+$K$7</f>
        <v>5</v>
      </c>
      <c r="L217" s="120" t="n">
        <f aca="false">K217</f>
        <v>5</v>
      </c>
      <c r="M217" s="118" t="n">
        <f aca="false">VLOOKUP($A217,Table,MATCH(M$4,Curves,0))</f>
        <v>5</v>
      </c>
      <c r="N217" s="119" t="n">
        <f aca="false">M217+$N$7</f>
        <v>5</v>
      </c>
      <c r="O217" s="120" t="n">
        <f aca="false">N217</f>
        <v>5</v>
      </c>
      <c r="P217" s="109"/>
      <c r="Q217" s="120" t="n">
        <f aca="false">IF($F$3=1,M217+J217+G217,J217+G217)</f>
        <v>8</v>
      </c>
      <c r="R217" s="120" t="n">
        <f aca="false">IF($F$3=1,N217+K217+H217,K217+H217)</f>
        <v>8</v>
      </c>
      <c r="S217" s="120" t="n">
        <f aca="false">IF($F$3=1,O217+L217+I217,L217+I217)</f>
        <v>6.85</v>
      </c>
      <c r="T217" s="121"/>
      <c r="U217" s="67" t="n">
        <f aca="false">A218-A217</f>
        <v>30</v>
      </c>
      <c r="V217" s="122" t="n">
        <f aca="false">CHOOSE(F$3,A218+24,A217)</f>
        <v>43556</v>
      </c>
      <c r="W217" s="67" t="n">
        <f aca="false">V217-C$3</f>
        <v>-2370</v>
      </c>
      <c r="X217" s="118" t="n">
        <f aca="false">VLOOKUP($A217,Table,MATCH(X$4,Curves,0))</f>
        <v>2</v>
      </c>
      <c r="Y217" s="123" t="n">
        <f aca="false">1/(1+CHOOSE(F$3,(X218+($K$3/10000))/2,(X217+($K$3/10000))/2))^(2*W217/365.25)</f>
        <v>8064.74236688641</v>
      </c>
      <c r="Z217" s="67" t="n">
        <f aca="false">IF(AND(mthbeg&lt;=A217,mthend&gt;=A217),1,0)</f>
        <v>0</v>
      </c>
      <c r="AA217" s="67" t="n">
        <f aca="false">U217*Z217</f>
        <v>0</v>
      </c>
      <c r="AC217" s="110" t="n">
        <f aca="false">F217*(H217-I217)</f>
        <v>0</v>
      </c>
      <c r="AD217" s="49"/>
      <c r="AE217" s="124"/>
    </row>
    <row r="218" customFormat="false" ht="12" hidden="false" customHeight="true" outlineLevel="0" collapsed="false">
      <c r="A218" s="115" t="n">
        <f aca="false">EDATE(A217,1)</f>
        <v>43586</v>
      </c>
      <c r="B218" s="116" t="n">
        <f aca="false">'Inputs-Summary'!$B$7</f>
        <v>3017157.21662952</v>
      </c>
      <c r="C218" s="57"/>
      <c r="D218" s="117" t="n">
        <f aca="false">B218+C218</f>
        <v>3017157.21662952</v>
      </c>
      <c r="E218" s="106" t="n">
        <f aca="false">IF(Z218=0,0,IF(AND(Z218=1,$H$3=1),D218*U218,IF($H$3=2,D218,"N/A")))</f>
        <v>0</v>
      </c>
      <c r="F218" s="106" t="n">
        <f aca="false">E218*Y218</f>
        <v>0</v>
      </c>
      <c r="G218" s="118" t="n">
        <f aca="false">VLOOKUP($A218,Table,MATCH(G$4,Curves,0))</f>
        <v>3</v>
      </c>
      <c r="H218" s="119" t="n">
        <f aca="false">G218+$H$7</f>
        <v>3</v>
      </c>
      <c r="I218" s="118" t="n">
        <f aca="false">'Inputs-Summary'!$B$16</f>
        <v>1.85</v>
      </c>
      <c r="J218" s="118" t="n">
        <f aca="false">VLOOKUP($A218,Table,MATCH(J$4,Curves,0))</f>
        <v>5</v>
      </c>
      <c r="K218" s="119" t="n">
        <f aca="false">J218+$K$7</f>
        <v>5</v>
      </c>
      <c r="L218" s="120" t="n">
        <f aca="false">K218</f>
        <v>5</v>
      </c>
      <c r="M218" s="118" t="n">
        <f aca="false">VLOOKUP($A218,Table,MATCH(M$4,Curves,0))</f>
        <v>5</v>
      </c>
      <c r="N218" s="119" t="n">
        <f aca="false">M218+$N$7</f>
        <v>5</v>
      </c>
      <c r="O218" s="120" t="n">
        <f aca="false">N218</f>
        <v>5</v>
      </c>
      <c r="P218" s="109"/>
      <c r="Q218" s="120" t="n">
        <f aca="false">IF($F$3=1,M218+J218+G218,J218+G218)</f>
        <v>8</v>
      </c>
      <c r="R218" s="120" t="n">
        <f aca="false">IF($F$3=1,N218+K218+H218,K218+H218)</f>
        <v>8</v>
      </c>
      <c r="S218" s="120" t="n">
        <f aca="false">IF($F$3=1,O218+L218+I218,L218+I218)</f>
        <v>6.85</v>
      </c>
      <c r="T218" s="121"/>
      <c r="U218" s="67" t="n">
        <f aca="false">A219-A218</f>
        <v>31</v>
      </c>
      <c r="V218" s="122" t="n">
        <f aca="false">CHOOSE(F$3,A219+24,A218)</f>
        <v>43586</v>
      </c>
      <c r="W218" s="67" t="n">
        <f aca="false">V218-C$3</f>
        <v>-2340</v>
      </c>
      <c r="X218" s="118" t="n">
        <f aca="false">VLOOKUP($A218,Table,MATCH(X$4,Curves,0))</f>
        <v>2</v>
      </c>
      <c r="Y218" s="123" t="n">
        <f aca="false">1/(1+CHOOSE(F$3,(X219+($K$3/10000))/2,(X218+($K$3/10000))/2))^(2*W218/365.25)</f>
        <v>7196.80914325951</v>
      </c>
      <c r="Z218" s="67" t="n">
        <f aca="false">IF(AND(mthbeg&lt;=A218,mthend&gt;=A218),1,0)</f>
        <v>0</v>
      </c>
      <c r="AA218" s="67" t="n">
        <f aca="false">U218*Z218</f>
        <v>0</v>
      </c>
      <c r="AC218" s="110" t="n">
        <f aca="false">F218*(H218-I218)</f>
        <v>0</v>
      </c>
      <c r="AD218" s="49"/>
      <c r="AE218" s="124"/>
    </row>
    <row r="219" customFormat="false" ht="12" hidden="false" customHeight="true" outlineLevel="0" collapsed="false">
      <c r="A219" s="115" t="n">
        <f aca="false">EDATE(A218,1)</f>
        <v>43617</v>
      </c>
      <c r="B219" s="116" t="n">
        <f aca="false">'Inputs-Summary'!$B$7</f>
        <v>3017157.21662952</v>
      </c>
      <c r="C219" s="57"/>
      <c r="D219" s="117" t="n">
        <f aca="false">B219+C219</f>
        <v>3017157.21662952</v>
      </c>
      <c r="E219" s="106" t="n">
        <f aca="false">IF(Z219=0,0,IF(AND(Z219=1,$H$3=1),D219*U219,IF($H$3=2,D219,"N/A")))</f>
        <v>0</v>
      </c>
      <c r="F219" s="106" t="n">
        <f aca="false">E219*Y219</f>
        <v>0</v>
      </c>
      <c r="G219" s="118" t="n">
        <f aca="false">VLOOKUP($A219,Table,MATCH(G$4,Curves,0))</f>
        <v>3</v>
      </c>
      <c r="H219" s="119" t="n">
        <f aca="false">G219+$H$7</f>
        <v>3</v>
      </c>
      <c r="I219" s="118" t="n">
        <f aca="false">'Inputs-Summary'!$B$16</f>
        <v>1.85</v>
      </c>
      <c r="J219" s="118" t="n">
        <f aca="false">VLOOKUP($A219,Table,MATCH(J$4,Curves,0))</f>
        <v>5</v>
      </c>
      <c r="K219" s="119" t="n">
        <f aca="false">J219+$K$7</f>
        <v>5</v>
      </c>
      <c r="L219" s="120" t="n">
        <f aca="false">K219</f>
        <v>5</v>
      </c>
      <c r="M219" s="118" t="n">
        <f aca="false">VLOOKUP($A219,Table,MATCH(M$4,Curves,0))</f>
        <v>5</v>
      </c>
      <c r="N219" s="119" t="n">
        <f aca="false">M219+$N$7</f>
        <v>5</v>
      </c>
      <c r="O219" s="120" t="n">
        <f aca="false">N219</f>
        <v>5</v>
      </c>
      <c r="P219" s="109"/>
      <c r="Q219" s="120" t="n">
        <f aca="false">IF($F$3=1,M219+J219+G219,J219+G219)</f>
        <v>8</v>
      </c>
      <c r="R219" s="120" t="n">
        <f aca="false">IF($F$3=1,N219+K219+H219,K219+H219)</f>
        <v>8</v>
      </c>
      <c r="S219" s="120" t="n">
        <f aca="false">IF($F$3=1,O219+L219+I219,L219+I219)</f>
        <v>6.85</v>
      </c>
      <c r="T219" s="121"/>
      <c r="U219" s="67" t="n">
        <f aca="false">A220-A219</f>
        <v>30</v>
      </c>
      <c r="V219" s="122" t="n">
        <f aca="false">CHOOSE(F$3,A220+24,A219)</f>
        <v>43617</v>
      </c>
      <c r="W219" s="67" t="n">
        <f aca="false">V219-C$3</f>
        <v>-2309</v>
      </c>
      <c r="X219" s="118" t="n">
        <f aca="false">VLOOKUP($A219,Table,MATCH(X$4,Curves,0))</f>
        <v>2</v>
      </c>
      <c r="Y219" s="123" t="n">
        <f aca="false">1/(1+CHOOSE(F$3,(X220+($K$3/10000))/2,(X219+($K$3/10000))/2))^(2*W219/365.25)</f>
        <v>6397.95413530212</v>
      </c>
      <c r="Z219" s="67" t="n">
        <f aca="false">IF(AND(mthbeg&lt;=A219,mthend&gt;=A219),1,0)</f>
        <v>0</v>
      </c>
      <c r="AA219" s="67" t="n">
        <f aca="false">U219*Z219</f>
        <v>0</v>
      </c>
      <c r="AC219" s="110" t="n">
        <f aca="false">F219*(H219-I219)</f>
        <v>0</v>
      </c>
      <c r="AD219" s="49"/>
      <c r="AE219" s="124"/>
    </row>
    <row r="220" customFormat="false" ht="12" hidden="false" customHeight="true" outlineLevel="0" collapsed="false">
      <c r="A220" s="115" t="n">
        <f aca="false">EDATE(A219,1)</f>
        <v>43647</v>
      </c>
      <c r="B220" s="116" t="n">
        <f aca="false">'Inputs-Summary'!$B$7</f>
        <v>3017157.21662952</v>
      </c>
      <c r="C220" s="57"/>
      <c r="D220" s="117" t="n">
        <f aca="false">B220+C220</f>
        <v>3017157.21662952</v>
      </c>
      <c r="E220" s="106" t="n">
        <f aca="false">IF(Z220=0,0,IF(AND(Z220=1,$H$3=1),D220*U220,IF($H$3=2,D220,"N/A")))</f>
        <v>0</v>
      </c>
      <c r="F220" s="106" t="n">
        <f aca="false">E220*Y220</f>
        <v>0</v>
      </c>
      <c r="G220" s="118" t="n">
        <f aca="false">VLOOKUP($A220,Table,MATCH(G$4,Curves,0))</f>
        <v>3</v>
      </c>
      <c r="H220" s="119" t="n">
        <f aca="false">G220+$H$7</f>
        <v>3</v>
      </c>
      <c r="I220" s="118" t="n">
        <f aca="false">'Inputs-Summary'!$B$16</f>
        <v>1.85</v>
      </c>
      <c r="J220" s="118" t="n">
        <f aca="false">VLOOKUP($A220,Table,MATCH(J$4,Curves,0))</f>
        <v>5</v>
      </c>
      <c r="K220" s="119" t="n">
        <f aca="false">J220+$K$7</f>
        <v>5</v>
      </c>
      <c r="L220" s="120" t="n">
        <f aca="false">K220</f>
        <v>5</v>
      </c>
      <c r="M220" s="118" t="n">
        <f aca="false">VLOOKUP($A220,Table,MATCH(M$4,Curves,0))</f>
        <v>5</v>
      </c>
      <c r="N220" s="119" t="n">
        <f aca="false">M220+$N$7</f>
        <v>5</v>
      </c>
      <c r="O220" s="120" t="n">
        <f aca="false">N220</f>
        <v>5</v>
      </c>
      <c r="P220" s="109"/>
      <c r="Q220" s="120" t="n">
        <f aca="false">IF($F$3=1,M220+J220+G220,J220+G220)</f>
        <v>8</v>
      </c>
      <c r="R220" s="120" t="n">
        <f aca="false">IF($F$3=1,N220+K220+H220,K220+H220)</f>
        <v>8</v>
      </c>
      <c r="S220" s="120" t="n">
        <f aca="false">IF($F$3=1,O220+L220+I220,L220+I220)</f>
        <v>6.85</v>
      </c>
      <c r="T220" s="121"/>
      <c r="U220" s="67" t="n">
        <f aca="false">A221-A220</f>
        <v>31</v>
      </c>
      <c r="V220" s="122" t="n">
        <f aca="false">CHOOSE(F$3,A221+24,A220)</f>
        <v>43647</v>
      </c>
      <c r="W220" s="67" t="n">
        <f aca="false">V220-C$3</f>
        <v>-2279</v>
      </c>
      <c r="X220" s="118" t="n">
        <f aca="false">VLOOKUP($A220,Table,MATCH(X$4,Curves,0))</f>
        <v>2</v>
      </c>
      <c r="Y220" s="123" t="n">
        <f aca="false">1/(1+CHOOSE(F$3,(X221+($K$3/10000))/2,(X220+($K$3/10000))/2))^(2*W220/365.25)</f>
        <v>5709.4018288986</v>
      </c>
      <c r="Z220" s="67" t="n">
        <f aca="false">IF(AND(mthbeg&lt;=A220,mthend&gt;=A220),1,0)</f>
        <v>0</v>
      </c>
      <c r="AA220" s="67" t="n">
        <f aca="false">U220*Z220</f>
        <v>0</v>
      </c>
      <c r="AC220" s="110" t="n">
        <f aca="false">F220*(H220-I220)</f>
        <v>0</v>
      </c>
      <c r="AD220" s="49"/>
      <c r="AE220" s="124"/>
    </row>
    <row r="221" customFormat="false" ht="12" hidden="false" customHeight="true" outlineLevel="0" collapsed="false">
      <c r="A221" s="115" t="n">
        <f aca="false">EDATE(A220,1)</f>
        <v>43678</v>
      </c>
      <c r="B221" s="116" t="n">
        <f aca="false">'Inputs-Summary'!$B$7</f>
        <v>3017157.21662952</v>
      </c>
      <c r="C221" s="57"/>
      <c r="D221" s="117" t="n">
        <f aca="false">B221+C221</f>
        <v>3017157.21662952</v>
      </c>
      <c r="E221" s="106" t="n">
        <f aca="false">IF(Z221=0,0,IF(AND(Z221=1,$H$3=1),D221*U221,IF($H$3=2,D221,"N/A")))</f>
        <v>0</v>
      </c>
      <c r="F221" s="106" t="n">
        <f aca="false">E221*Y221</f>
        <v>0</v>
      </c>
      <c r="G221" s="118" t="n">
        <f aca="false">VLOOKUP($A221,Table,MATCH(G$4,Curves,0))</f>
        <v>3</v>
      </c>
      <c r="H221" s="119" t="n">
        <f aca="false">G221+$H$7</f>
        <v>3</v>
      </c>
      <c r="I221" s="118" t="n">
        <f aca="false">'Inputs-Summary'!$B$16</f>
        <v>1.85</v>
      </c>
      <c r="J221" s="118" t="n">
        <f aca="false">VLOOKUP($A221,Table,MATCH(J$4,Curves,0))</f>
        <v>5</v>
      </c>
      <c r="K221" s="119" t="n">
        <f aca="false">J221+$K$7</f>
        <v>5</v>
      </c>
      <c r="L221" s="120" t="n">
        <f aca="false">K221</f>
        <v>5</v>
      </c>
      <c r="M221" s="118" t="n">
        <f aca="false">VLOOKUP($A221,Table,MATCH(M$4,Curves,0))</f>
        <v>5</v>
      </c>
      <c r="N221" s="119" t="n">
        <f aca="false">M221+$N$7</f>
        <v>5</v>
      </c>
      <c r="O221" s="120" t="n">
        <f aca="false">N221</f>
        <v>5</v>
      </c>
      <c r="P221" s="109"/>
      <c r="Q221" s="120" t="n">
        <f aca="false">IF($F$3=1,M221+J221+G221,J221+G221)</f>
        <v>8</v>
      </c>
      <c r="R221" s="120" t="n">
        <f aca="false">IF($F$3=1,N221+K221+H221,K221+H221)</f>
        <v>8</v>
      </c>
      <c r="S221" s="120" t="n">
        <f aca="false">IF($F$3=1,O221+L221+I221,L221+I221)</f>
        <v>6.85</v>
      </c>
      <c r="T221" s="121"/>
      <c r="U221" s="67" t="n">
        <f aca="false">A222-A221</f>
        <v>31</v>
      </c>
      <c r="V221" s="122" t="n">
        <f aca="false">CHOOSE(F$3,A222+24,A221)</f>
        <v>43678</v>
      </c>
      <c r="W221" s="67" t="n">
        <f aca="false">V221-C$3</f>
        <v>-2248</v>
      </c>
      <c r="X221" s="118" t="n">
        <f aca="false">VLOOKUP($A221,Table,MATCH(X$4,Curves,0))</f>
        <v>2</v>
      </c>
      <c r="Y221" s="123" t="n">
        <f aca="false">1/(1+CHOOSE(F$3,(X222+($K$3/10000))/2,(X221+($K$3/10000))/2))^(2*W221/365.25)</f>
        <v>5075.6509328187</v>
      </c>
      <c r="Z221" s="67" t="n">
        <f aca="false">IF(AND(mthbeg&lt;=A221,mthend&gt;=A221),1,0)</f>
        <v>0</v>
      </c>
      <c r="AA221" s="67" t="n">
        <f aca="false">U221*Z221</f>
        <v>0</v>
      </c>
      <c r="AC221" s="110" t="n">
        <f aca="false">F221*(H221-I221)</f>
        <v>0</v>
      </c>
      <c r="AD221" s="49"/>
      <c r="AE221" s="124"/>
    </row>
    <row r="222" customFormat="false" ht="12" hidden="false" customHeight="true" outlineLevel="0" collapsed="false">
      <c r="A222" s="115" t="n">
        <f aca="false">EDATE(A221,1)</f>
        <v>43709</v>
      </c>
      <c r="B222" s="116" t="n">
        <f aca="false">'Inputs-Summary'!$B$7</f>
        <v>3017157.21662952</v>
      </c>
      <c r="C222" s="57"/>
      <c r="D222" s="117" t="n">
        <f aca="false">B222+C222</f>
        <v>3017157.21662952</v>
      </c>
      <c r="E222" s="106" t="n">
        <f aca="false">IF(Z222=0,0,IF(AND(Z222=1,$H$3=1),D222*U222,IF($H$3=2,D222,"N/A")))</f>
        <v>0</v>
      </c>
      <c r="F222" s="106" t="n">
        <f aca="false">E222*Y222</f>
        <v>0</v>
      </c>
      <c r="G222" s="118" t="n">
        <f aca="false">VLOOKUP($A222,Table,MATCH(G$4,Curves,0))</f>
        <v>3</v>
      </c>
      <c r="H222" s="119" t="n">
        <f aca="false">G222+$H$7</f>
        <v>3</v>
      </c>
      <c r="I222" s="118" t="n">
        <f aca="false">'Inputs-Summary'!$B$16</f>
        <v>1.85</v>
      </c>
      <c r="J222" s="118" t="n">
        <f aca="false">VLOOKUP($A222,Table,MATCH(J$4,Curves,0))</f>
        <v>5</v>
      </c>
      <c r="K222" s="119" t="n">
        <f aca="false">J222+$K$7</f>
        <v>5</v>
      </c>
      <c r="L222" s="120" t="n">
        <f aca="false">K222</f>
        <v>5</v>
      </c>
      <c r="M222" s="118" t="n">
        <f aca="false">VLOOKUP($A222,Table,MATCH(M$4,Curves,0))</f>
        <v>5</v>
      </c>
      <c r="N222" s="119" t="n">
        <f aca="false">M222+$N$7</f>
        <v>5</v>
      </c>
      <c r="O222" s="120" t="n">
        <f aca="false">N222</f>
        <v>5</v>
      </c>
      <c r="P222" s="109"/>
      <c r="Q222" s="120" t="n">
        <f aca="false">IF($F$3=1,M222+J222+G222,J222+G222)</f>
        <v>8</v>
      </c>
      <c r="R222" s="120" t="n">
        <f aca="false">IF($F$3=1,N222+K222+H222,K222+H222)</f>
        <v>8</v>
      </c>
      <c r="S222" s="120" t="n">
        <f aca="false">IF($F$3=1,O222+L222+I222,L222+I222)</f>
        <v>6.85</v>
      </c>
      <c r="T222" s="121"/>
      <c r="U222" s="67" t="n">
        <f aca="false">A223-A222</f>
        <v>30</v>
      </c>
      <c r="V222" s="122" t="n">
        <f aca="false">CHOOSE(F$3,A223+24,A222)</f>
        <v>43709</v>
      </c>
      <c r="W222" s="67" t="n">
        <f aca="false">V222-C$3</f>
        <v>-2217</v>
      </c>
      <c r="X222" s="118" t="n">
        <f aca="false">VLOOKUP($A222,Table,MATCH(X$4,Curves,0))</f>
        <v>2</v>
      </c>
      <c r="Y222" s="123" t="n">
        <f aca="false">1/(1+CHOOSE(F$3,(X223+($K$3/10000))/2,(X222+($K$3/10000))/2))^(2*W222/365.25)</f>
        <v>4512.247195744</v>
      </c>
      <c r="Z222" s="67" t="n">
        <f aca="false">IF(AND(mthbeg&lt;=A222,mthend&gt;=A222),1,0)</f>
        <v>0</v>
      </c>
      <c r="AA222" s="67" t="n">
        <f aca="false">U222*Z222</f>
        <v>0</v>
      </c>
      <c r="AC222" s="110" t="n">
        <f aca="false">F222*(H222-I222)</f>
        <v>0</v>
      </c>
      <c r="AD222" s="49"/>
      <c r="AE222" s="124"/>
    </row>
    <row r="223" customFormat="false" ht="12" hidden="false" customHeight="true" outlineLevel="0" collapsed="false">
      <c r="A223" s="115" t="n">
        <f aca="false">EDATE(A222,1)</f>
        <v>43739</v>
      </c>
      <c r="B223" s="116" t="n">
        <f aca="false">'Inputs-Summary'!$B$7</f>
        <v>3017157.21662952</v>
      </c>
      <c r="C223" s="57"/>
      <c r="D223" s="117" t="n">
        <f aca="false">B223+C223</f>
        <v>3017157.21662952</v>
      </c>
      <c r="E223" s="106" t="n">
        <f aca="false">IF(Z223=0,0,IF(AND(Z223=1,$H$3=1),D223*U223,IF($H$3=2,D223,"N/A")))</f>
        <v>0</v>
      </c>
      <c r="F223" s="106" t="n">
        <f aca="false">E223*Y223</f>
        <v>0</v>
      </c>
      <c r="G223" s="118" t="n">
        <f aca="false">VLOOKUP($A223,Table,MATCH(G$4,Curves,0))</f>
        <v>3</v>
      </c>
      <c r="H223" s="119" t="n">
        <f aca="false">G223+$H$7</f>
        <v>3</v>
      </c>
      <c r="I223" s="118" t="n">
        <f aca="false">'Inputs-Summary'!$B$16</f>
        <v>1.85</v>
      </c>
      <c r="J223" s="118" t="n">
        <f aca="false">VLOOKUP($A223,Table,MATCH(J$4,Curves,0))</f>
        <v>5</v>
      </c>
      <c r="K223" s="119" t="n">
        <f aca="false">J223+$K$7</f>
        <v>5</v>
      </c>
      <c r="L223" s="120" t="n">
        <f aca="false">K223</f>
        <v>5</v>
      </c>
      <c r="M223" s="118" t="n">
        <f aca="false">VLOOKUP($A223,Table,MATCH(M$4,Curves,0))</f>
        <v>5</v>
      </c>
      <c r="N223" s="119" t="n">
        <f aca="false">M223+$N$7</f>
        <v>5</v>
      </c>
      <c r="O223" s="120" t="n">
        <f aca="false">N223</f>
        <v>5</v>
      </c>
      <c r="P223" s="109"/>
      <c r="Q223" s="120" t="n">
        <f aca="false">IF($F$3=1,M223+J223+G223,J223+G223)</f>
        <v>8</v>
      </c>
      <c r="R223" s="120" t="n">
        <f aca="false">IF($F$3=1,N223+K223+H223,K223+H223)</f>
        <v>8</v>
      </c>
      <c r="S223" s="120" t="n">
        <f aca="false">IF($F$3=1,O223+L223+I223,L223+I223)</f>
        <v>6.85</v>
      </c>
      <c r="T223" s="121"/>
      <c r="U223" s="67" t="n">
        <f aca="false">A224-A223</f>
        <v>31</v>
      </c>
      <c r="V223" s="122" t="n">
        <f aca="false">CHOOSE(F$3,A224+24,A223)</f>
        <v>43739</v>
      </c>
      <c r="W223" s="67" t="n">
        <f aca="false">V223-C$3</f>
        <v>-2187</v>
      </c>
      <c r="X223" s="118" t="n">
        <f aca="false">VLOOKUP($A223,Table,MATCH(X$4,Curves,0))</f>
        <v>2</v>
      </c>
      <c r="Y223" s="123" t="n">
        <f aca="false">1/(1+CHOOSE(F$3,(X224+($K$3/10000))/2,(X223+($K$3/10000))/2))^(2*W223/365.25)</f>
        <v>4026.63599128893</v>
      </c>
      <c r="Z223" s="67" t="n">
        <f aca="false">IF(AND(mthbeg&lt;=A223,mthend&gt;=A223),1,0)</f>
        <v>0</v>
      </c>
      <c r="AA223" s="67" t="n">
        <f aca="false">U223*Z223</f>
        <v>0</v>
      </c>
      <c r="AC223" s="110" t="n">
        <f aca="false">F223*(H223-I223)</f>
        <v>0</v>
      </c>
      <c r="AD223" s="49"/>
      <c r="AE223" s="124"/>
    </row>
    <row r="224" customFormat="false" ht="12" hidden="false" customHeight="true" outlineLevel="0" collapsed="false">
      <c r="A224" s="115" t="n">
        <f aca="false">EDATE(A223,1)</f>
        <v>43770</v>
      </c>
      <c r="B224" s="116" t="n">
        <f aca="false">'Inputs-Summary'!$B$7</f>
        <v>3017157.21662952</v>
      </c>
      <c r="C224" s="57"/>
      <c r="D224" s="117" t="n">
        <f aca="false">B224+C224</f>
        <v>3017157.21662952</v>
      </c>
      <c r="E224" s="106" t="n">
        <f aca="false">IF(Z224=0,0,IF(AND(Z224=1,$H$3=1),D224*U224,IF($H$3=2,D224,"N/A")))</f>
        <v>0</v>
      </c>
      <c r="F224" s="106" t="n">
        <f aca="false">E224*Y224</f>
        <v>0</v>
      </c>
      <c r="G224" s="118" t="n">
        <f aca="false">VLOOKUP($A224,Table,MATCH(G$4,Curves,0))</f>
        <v>3</v>
      </c>
      <c r="H224" s="119" t="n">
        <f aca="false">G224+$H$7</f>
        <v>3</v>
      </c>
      <c r="I224" s="118" t="n">
        <f aca="false">'Inputs-Summary'!$B$16</f>
        <v>1.85</v>
      </c>
      <c r="J224" s="118" t="n">
        <f aca="false">VLOOKUP($A224,Table,MATCH(J$4,Curves,0))</f>
        <v>5</v>
      </c>
      <c r="K224" s="119" t="n">
        <f aca="false">J224+$K$7</f>
        <v>5</v>
      </c>
      <c r="L224" s="120" t="n">
        <f aca="false">K224</f>
        <v>5</v>
      </c>
      <c r="M224" s="118" t="n">
        <f aca="false">VLOOKUP($A224,Table,MATCH(M$4,Curves,0))</f>
        <v>5</v>
      </c>
      <c r="N224" s="119" t="n">
        <f aca="false">M224+$N$7</f>
        <v>5</v>
      </c>
      <c r="O224" s="120" t="n">
        <f aca="false">N224</f>
        <v>5</v>
      </c>
      <c r="P224" s="109"/>
      <c r="Q224" s="120" t="n">
        <f aca="false">IF($F$3=1,M224+J224+G224,J224+G224)</f>
        <v>8</v>
      </c>
      <c r="R224" s="120" t="n">
        <f aca="false">IF($F$3=1,N224+K224+H224,K224+H224)</f>
        <v>8</v>
      </c>
      <c r="S224" s="120" t="n">
        <f aca="false">IF($F$3=1,O224+L224+I224,L224+I224)</f>
        <v>6.85</v>
      </c>
      <c r="T224" s="121"/>
      <c r="U224" s="67" t="n">
        <f aca="false">A225-A224</f>
        <v>30</v>
      </c>
      <c r="V224" s="122" t="n">
        <f aca="false">CHOOSE(F$3,A225+24,A224)</f>
        <v>43770</v>
      </c>
      <c r="W224" s="67" t="n">
        <f aca="false">V224-C$3</f>
        <v>-2156</v>
      </c>
      <c r="X224" s="118" t="n">
        <f aca="false">VLOOKUP($A224,Table,MATCH(X$4,Curves,0))</f>
        <v>2</v>
      </c>
      <c r="Y224" s="123" t="n">
        <f aca="false">1/(1+CHOOSE(F$3,(X225+($K$3/10000))/2,(X224+($K$3/10000))/2))^(2*W224/365.25)</f>
        <v>3579.67425271408</v>
      </c>
      <c r="Z224" s="67" t="n">
        <f aca="false">IF(AND(mthbeg&lt;=A224,mthend&gt;=A224),1,0)</f>
        <v>0</v>
      </c>
      <c r="AA224" s="67" t="n">
        <f aca="false">U224*Z224</f>
        <v>0</v>
      </c>
      <c r="AC224" s="110" t="n">
        <f aca="false">F224*(H224-I224)</f>
        <v>0</v>
      </c>
      <c r="AD224" s="49"/>
      <c r="AE224" s="124"/>
    </row>
    <row r="225" customFormat="false" ht="12" hidden="false" customHeight="true" outlineLevel="0" collapsed="false">
      <c r="A225" s="115" t="n">
        <f aca="false">EDATE(A224,1)</f>
        <v>43800</v>
      </c>
      <c r="B225" s="116" t="n">
        <f aca="false">'Inputs-Summary'!$B$7</f>
        <v>3017157.21662952</v>
      </c>
      <c r="C225" s="57"/>
      <c r="D225" s="117" t="n">
        <f aca="false">B225+C225</f>
        <v>3017157.21662952</v>
      </c>
      <c r="E225" s="106" t="n">
        <f aca="false">IF(Z225=0,0,IF(AND(Z225=1,$H$3=1),D225*U225,IF($H$3=2,D225,"N/A")))</f>
        <v>0</v>
      </c>
      <c r="F225" s="106" t="n">
        <f aca="false">E225*Y225</f>
        <v>0</v>
      </c>
      <c r="G225" s="118" t="n">
        <f aca="false">VLOOKUP($A225,Table,MATCH(G$4,Curves,0))</f>
        <v>3</v>
      </c>
      <c r="H225" s="119" t="n">
        <f aca="false">G225+$H$7</f>
        <v>3</v>
      </c>
      <c r="I225" s="118" t="n">
        <f aca="false">'Inputs-Summary'!$B$16</f>
        <v>1.85</v>
      </c>
      <c r="J225" s="118" t="n">
        <f aca="false">VLOOKUP($A225,Table,MATCH(J$4,Curves,0))</f>
        <v>5</v>
      </c>
      <c r="K225" s="119" t="n">
        <f aca="false">J225+$K$7</f>
        <v>5</v>
      </c>
      <c r="L225" s="120" t="n">
        <f aca="false">K225</f>
        <v>5</v>
      </c>
      <c r="M225" s="118" t="n">
        <f aca="false">VLOOKUP($A225,Table,MATCH(M$4,Curves,0))</f>
        <v>5</v>
      </c>
      <c r="N225" s="119" t="n">
        <f aca="false">M225+$N$7</f>
        <v>5</v>
      </c>
      <c r="O225" s="120" t="n">
        <f aca="false">N225</f>
        <v>5</v>
      </c>
      <c r="P225" s="109"/>
      <c r="Q225" s="120" t="n">
        <f aca="false">IF($F$3=1,M225+J225+G225,J225+G225)</f>
        <v>8</v>
      </c>
      <c r="R225" s="120" t="n">
        <f aca="false">IF($F$3=1,N225+K225+H225,K225+H225)</f>
        <v>8</v>
      </c>
      <c r="S225" s="120" t="n">
        <f aca="false">IF($F$3=1,O225+L225+I225,L225+I225)</f>
        <v>6.85</v>
      </c>
      <c r="T225" s="121"/>
      <c r="U225" s="67" t="n">
        <f aca="false">A226-A225</f>
        <v>31</v>
      </c>
      <c r="V225" s="122" t="n">
        <f aca="false">CHOOSE(F$3,A226+24,A225)</f>
        <v>43800</v>
      </c>
      <c r="W225" s="67" t="n">
        <f aca="false">V225-C$3</f>
        <v>-2126</v>
      </c>
      <c r="X225" s="118" t="n">
        <f aca="false">VLOOKUP($A225,Table,MATCH(X$4,Curves,0))</f>
        <v>2</v>
      </c>
      <c r="Y225" s="123" t="n">
        <f aca="false">1/(1+CHOOSE(F$3,(X226+($K$3/10000))/2,(X225+($K$3/10000))/2))^(2*W225/365.25)</f>
        <v>3194.42720174203</v>
      </c>
      <c r="Z225" s="67" t="n">
        <f aca="false">IF(AND(mthbeg&lt;=A225,mthend&gt;=A225),1,0)</f>
        <v>0</v>
      </c>
      <c r="AA225" s="67" t="n">
        <f aca="false">U225*Z225</f>
        <v>0</v>
      </c>
      <c r="AC225" s="110" t="n">
        <f aca="false">F225*(H225-I225)</f>
        <v>0</v>
      </c>
      <c r="AD225" s="49"/>
      <c r="AE225" s="124"/>
    </row>
    <row r="226" customFormat="false" ht="12" hidden="false" customHeight="true" outlineLevel="0" collapsed="false">
      <c r="A226" s="115" t="n">
        <f aca="false">EDATE(A225,1)</f>
        <v>43831</v>
      </c>
      <c r="B226" s="116" t="n">
        <f aca="false">'Inputs-Summary'!$B$7</f>
        <v>3017157.21662952</v>
      </c>
      <c r="C226" s="57"/>
      <c r="D226" s="117" t="n">
        <f aca="false">B226+C226</f>
        <v>3017157.21662952</v>
      </c>
      <c r="E226" s="106" t="n">
        <f aca="false">IF(Z226=0,0,IF(AND(Z226=1,$H$3=1),D226*U226,IF($H$3=2,D226,"N/A")))</f>
        <v>0</v>
      </c>
      <c r="F226" s="106" t="n">
        <f aca="false">E226*Y226</f>
        <v>0</v>
      </c>
      <c r="G226" s="118" t="n">
        <f aca="false">VLOOKUP($A226,Table,MATCH(G$4,Curves,0))</f>
        <v>3</v>
      </c>
      <c r="H226" s="119" t="n">
        <f aca="false">G226+$H$7</f>
        <v>3</v>
      </c>
      <c r="I226" s="118" t="n">
        <f aca="false">'Inputs-Summary'!$B$16</f>
        <v>1.85</v>
      </c>
      <c r="J226" s="118" t="n">
        <f aca="false">VLOOKUP($A226,Table,MATCH(J$4,Curves,0))</f>
        <v>5</v>
      </c>
      <c r="K226" s="119" t="n">
        <f aca="false">J226+$K$7</f>
        <v>5</v>
      </c>
      <c r="L226" s="120" t="n">
        <f aca="false">K226</f>
        <v>5</v>
      </c>
      <c r="M226" s="118" t="n">
        <f aca="false">VLOOKUP($A226,Table,MATCH(M$4,Curves,0))</f>
        <v>5</v>
      </c>
      <c r="N226" s="119" t="n">
        <f aca="false">M226+$N$7</f>
        <v>5</v>
      </c>
      <c r="O226" s="120" t="n">
        <f aca="false">N226</f>
        <v>5</v>
      </c>
      <c r="P226" s="109"/>
      <c r="Q226" s="120" t="n">
        <f aca="false">IF($F$3=1,M226+J226+G226,J226+G226)</f>
        <v>8</v>
      </c>
      <c r="R226" s="120" t="n">
        <f aca="false">IF($F$3=1,N226+K226+H226,K226+H226)</f>
        <v>8</v>
      </c>
      <c r="S226" s="120" t="n">
        <f aca="false">IF($F$3=1,O226+L226+I226,L226+I226)</f>
        <v>6.85</v>
      </c>
      <c r="T226" s="121"/>
      <c r="U226" s="67" t="n">
        <f aca="false">A227-A226</f>
        <v>31</v>
      </c>
      <c r="V226" s="122" t="n">
        <f aca="false">CHOOSE(F$3,A227+24,A226)</f>
        <v>43831</v>
      </c>
      <c r="W226" s="67" t="n">
        <f aca="false">V226-C$3</f>
        <v>-2095</v>
      </c>
      <c r="X226" s="118" t="n">
        <f aca="false">VLOOKUP($A226,Table,MATCH(X$4,Curves,0))</f>
        <v>2</v>
      </c>
      <c r="Y226" s="123" t="n">
        <f aca="false">1/(1+CHOOSE(F$3,(X227+($K$3/10000))/2,(X226+($K$3/10000))/2))^(2*W226/365.25)</f>
        <v>2839.84170185324</v>
      </c>
      <c r="Z226" s="67" t="n">
        <f aca="false">IF(AND(mthbeg&lt;=A226,mthend&gt;=A226),1,0)</f>
        <v>0</v>
      </c>
      <c r="AA226" s="67" t="n">
        <f aca="false">U226*Z226</f>
        <v>0</v>
      </c>
      <c r="AC226" s="110" t="n">
        <f aca="false">F226*(H226-I226)</f>
        <v>0</v>
      </c>
      <c r="AD226" s="49"/>
      <c r="AE226" s="124"/>
    </row>
    <row r="227" customFormat="false" ht="12" hidden="false" customHeight="true" outlineLevel="0" collapsed="false">
      <c r="A227" s="115" t="n">
        <f aca="false">EDATE(A226,1)</f>
        <v>43862</v>
      </c>
      <c r="B227" s="116" t="n">
        <f aca="false">'Inputs-Summary'!$B$7</f>
        <v>3017157.21662952</v>
      </c>
      <c r="C227" s="57"/>
      <c r="D227" s="117" t="n">
        <f aca="false">B227+C227</f>
        <v>3017157.21662952</v>
      </c>
      <c r="E227" s="106" t="n">
        <f aca="false">IF(Z227=0,0,IF(AND(Z227=1,$H$3=1),D227*U227,IF($H$3=2,D227,"N/A")))</f>
        <v>0</v>
      </c>
      <c r="F227" s="106" t="n">
        <f aca="false">E227*Y227</f>
        <v>0</v>
      </c>
      <c r="G227" s="118" t="n">
        <f aca="false">VLOOKUP($A227,Table,MATCH(G$4,Curves,0))</f>
        <v>3</v>
      </c>
      <c r="H227" s="119" t="n">
        <f aca="false">G227+$H$7</f>
        <v>3</v>
      </c>
      <c r="I227" s="118" t="n">
        <f aca="false">'Inputs-Summary'!$B$16</f>
        <v>1.85</v>
      </c>
      <c r="J227" s="118" t="n">
        <f aca="false">VLOOKUP($A227,Table,MATCH(J$4,Curves,0))</f>
        <v>5</v>
      </c>
      <c r="K227" s="119" t="n">
        <f aca="false">J227+$K$7</f>
        <v>5</v>
      </c>
      <c r="L227" s="120" t="n">
        <f aca="false">K227</f>
        <v>5</v>
      </c>
      <c r="M227" s="118" t="n">
        <f aca="false">VLOOKUP($A227,Table,MATCH(M$4,Curves,0))</f>
        <v>5</v>
      </c>
      <c r="N227" s="119" t="n">
        <f aca="false">M227+$N$7</f>
        <v>5</v>
      </c>
      <c r="O227" s="120" t="n">
        <f aca="false">N227</f>
        <v>5</v>
      </c>
      <c r="P227" s="109"/>
      <c r="Q227" s="120" t="n">
        <f aca="false">IF($F$3=1,M227+J227+G227,J227+G227)</f>
        <v>8</v>
      </c>
      <c r="R227" s="120" t="n">
        <f aca="false">IF($F$3=1,N227+K227+H227,K227+H227)</f>
        <v>8</v>
      </c>
      <c r="S227" s="120" t="n">
        <f aca="false">IF($F$3=1,O227+L227+I227,L227+I227)</f>
        <v>6.85</v>
      </c>
      <c r="T227" s="121"/>
      <c r="U227" s="67" t="n">
        <f aca="false">A228-A227</f>
        <v>29</v>
      </c>
      <c r="V227" s="122" t="n">
        <f aca="false">CHOOSE(F$3,A228+24,A227)</f>
        <v>43862</v>
      </c>
      <c r="W227" s="67" t="n">
        <f aca="false">V227-C$3</f>
        <v>-2064</v>
      </c>
      <c r="X227" s="118" t="n">
        <f aca="false">VLOOKUP($A227,Table,MATCH(X$4,Curves,0))</f>
        <v>2</v>
      </c>
      <c r="Y227" s="123" t="n">
        <f aca="false">1/(1+CHOOSE(F$3,(X228+($K$3/10000))/2,(X227+($K$3/10000))/2))^(2*W227/365.25)</f>
        <v>2524.6156453923</v>
      </c>
      <c r="Z227" s="67" t="n">
        <f aca="false">IF(AND(mthbeg&lt;=A227,mthend&gt;=A227),1,0)</f>
        <v>0</v>
      </c>
      <c r="AA227" s="67" t="n">
        <f aca="false">U227*Z227</f>
        <v>0</v>
      </c>
      <c r="AC227" s="110" t="n">
        <f aca="false">F227*(H227-I227)</f>
        <v>0</v>
      </c>
      <c r="AD227" s="49"/>
      <c r="AE227" s="124"/>
    </row>
    <row r="228" customFormat="false" ht="12" hidden="false" customHeight="true" outlineLevel="0" collapsed="false">
      <c r="A228" s="115" t="n">
        <f aca="false">EDATE(A227,1)</f>
        <v>43891</v>
      </c>
      <c r="B228" s="116" t="n">
        <f aca="false">'Inputs-Summary'!$B$7</f>
        <v>3017157.21662952</v>
      </c>
      <c r="C228" s="57"/>
      <c r="D228" s="117" t="n">
        <f aca="false">B228+C228</f>
        <v>3017157.21662952</v>
      </c>
      <c r="E228" s="106" t="n">
        <f aca="false">IF(Z228=0,0,IF(AND(Z228=1,$H$3=1),D228*U228,IF($H$3=2,D228,"N/A")))</f>
        <v>0</v>
      </c>
      <c r="F228" s="106" t="n">
        <f aca="false">E228*Y228</f>
        <v>0</v>
      </c>
      <c r="G228" s="118" t="n">
        <f aca="false">VLOOKUP($A228,Table,MATCH(G$4,Curves,0))</f>
        <v>3</v>
      </c>
      <c r="H228" s="119" t="n">
        <f aca="false">G228+$H$7</f>
        <v>3</v>
      </c>
      <c r="I228" s="118" t="n">
        <f aca="false">'Inputs-Summary'!$B$16</f>
        <v>1.85</v>
      </c>
      <c r="J228" s="118" t="n">
        <f aca="false">VLOOKUP($A228,Table,MATCH(J$4,Curves,0))</f>
        <v>5</v>
      </c>
      <c r="K228" s="119" t="n">
        <f aca="false">J228+$K$7</f>
        <v>5</v>
      </c>
      <c r="L228" s="120" t="n">
        <f aca="false">K228</f>
        <v>5</v>
      </c>
      <c r="M228" s="118" t="n">
        <f aca="false">VLOOKUP($A228,Table,MATCH(M$4,Curves,0))</f>
        <v>5</v>
      </c>
      <c r="N228" s="119" t="n">
        <f aca="false">M228+$N$7</f>
        <v>5</v>
      </c>
      <c r="O228" s="120" t="n">
        <f aca="false">N228</f>
        <v>5</v>
      </c>
      <c r="P228" s="109"/>
      <c r="Q228" s="120" t="n">
        <f aca="false">IF($F$3=1,M228+J228+G228,J228+G228)</f>
        <v>8</v>
      </c>
      <c r="R228" s="120" t="n">
        <f aca="false">IF($F$3=1,N228+K228+H228,K228+H228)</f>
        <v>8</v>
      </c>
      <c r="S228" s="120" t="n">
        <f aca="false">IF($F$3=1,O228+L228+I228,L228+I228)</f>
        <v>6.85</v>
      </c>
      <c r="T228" s="121"/>
      <c r="U228" s="67" t="n">
        <f aca="false">A229-A228</f>
        <v>31</v>
      </c>
      <c r="V228" s="122" t="n">
        <f aca="false">CHOOSE(F$3,A229+24,A228)</f>
        <v>43891</v>
      </c>
      <c r="W228" s="67" t="n">
        <f aca="false">V228-C$3</f>
        <v>-2035</v>
      </c>
      <c r="X228" s="118" t="n">
        <f aca="false">VLOOKUP($A228,Table,MATCH(X$4,Curves,0))</f>
        <v>2</v>
      </c>
      <c r="Y228" s="123" t="n">
        <f aca="false">1/(1+CHOOSE(F$3,(X229+($K$3/10000))/2,(X228+($K$3/10000))/2))^(2*W228/365.25)</f>
        <v>2261.48185251338</v>
      </c>
      <c r="Z228" s="67" t="n">
        <f aca="false">IF(AND(mthbeg&lt;=A228,mthend&gt;=A228),1,0)</f>
        <v>0</v>
      </c>
      <c r="AA228" s="67" t="n">
        <f aca="false">U228*Z228</f>
        <v>0</v>
      </c>
      <c r="AC228" s="110" t="n">
        <f aca="false">F228*(H228-I228)</f>
        <v>0</v>
      </c>
      <c r="AD228" s="49"/>
      <c r="AE228" s="124"/>
    </row>
    <row r="229" customFormat="false" ht="12" hidden="false" customHeight="true" outlineLevel="0" collapsed="false">
      <c r="A229" s="115" t="n">
        <f aca="false">EDATE(A228,1)</f>
        <v>43922</v>
      </c>
      <c r="B229" s="116" t="n">
        <f aca="false">'Inputs-Summary'!$B$7</f>
        <v>3017157.21662952</v>
      </c>
      <c r="C229" s="57"/>
      <c r="D229" s="117" t="n">
        <f aca="false">B229+C229</f>
        <v>3017157.21662952</v>
      </c>
      <c r="E229" s="106" t="n">
        <f aca="false">IF(Z229=0,0,IF(AND(Z229=1,$H$3=1),D229*U229,IF($H$3=2,D229,"N/A")))</f>
        <v>0</v>
      </c>
      <c r="F229" s="106" t="n">
        <f aca="false">E229*Y229</f>
        <v>0</v>
      </c>
      <c r="G229" s="118" t="n">
        <f aca="false">VLOOKUP($A229,Table,MATCH(G$4,Curves,0))</f>
        <v>3</v>
      </c>
      <c r="H229" s="119" t="n">
        <f aca="false">G229+$H$7</f>
        <v>3</v>
      </c>
      <c r="I229" s="118" t="n">
        <f aca="false">'Inputs-Summary'!$B$16</f>
        <v>1.85</v>
      </c>
      <c r="J229" s="118" t="n">
        <f aca="false">VLOOKUP($A229,Table,MATCH(J$4,Curves,0))</f>
        <v>5</v>
      </c>
      <c r="K229" s="119" t="n">
        <f aca="false">J229+$K$7</f>
        <v>5</v>
      </c>
      <c r="L229" s="120" t="n">
        <f aca="false">K229</f>
        <v>5</v>
      </c>
      <c r="M229" s="118" t="n">
        <f aca="false">VLOOKUP($A229,Table,MATCH(M$4,Curves,0))</f>
        <v>5</v>
      </c>
      <c r="N229" s="119" t="n">
        <f aca="false">M229+$N$7</f>
        <v>5</v>
      </c>
      <c r="O229" s="120" t="n">
        <f aca="false">N229</f>
        <v>5</v>
      </c>
      <c r="P229" s="109"/>
      <c r="Q229" s="120" t="n">
        <f aca="false">IF($F$3=1,M229+J229+G229,J229+G229)</f>
        <v>8</v>
      </c>
      <c r="R229" s="120" t="n">
        <f aca="false">IF($F$3=1,N229+K229+H229,K229+H229)</f>
        <v>8</v>
      </c>
      <c r="S229" s="120" t="n">
        <f aca="false">IF($F$3=1,O229+L229+I229,L229+I229)</f>
        <v>6.85</v>
      </c>
      <c r="T229" s="121"/>
      <c r="U229" s="67" t="n">
        <f aca="false">A230-A229</f>
        <v>30</v>
      </c>
      <c r="V229" s="122" t="n">
        <f aca="false">CHOOSE(F$3,A230+24,A229)</f>
        <v>43922</v>
      </c>
      <c r="W229" s="67" t="n">
        <f aca="false">V229-C$3</f>
        <v>-2004</v>
      </c>
      <c r="X229" s="118" t="n">
        <f aca="false">VLOOKUP($A229,Table,MATCH(X$4,Curves,0))</f>
        <v>2</v>
      </c>
      <c r="Y229" s="123" t="n">
        <f aca="false">1/(1+CHOOSE(F$3,(X230+($K$3/10000))/2,(X229+($K$3/10000))/2))^(2*W229/365.25)</f>
        <v>2010.45447811411</v>
      </c>
      <c r="Z229" s="67" t="n">
        <f aca="false">IF(AND(mthbeg&lt;=A229,mthend&gt;=A229),1,0)</f>
        <v>0</v>
      </c>
      <c r="AA229" s="67" t="n">
        <f aca="false">U229*Z229</f>
        <v>0</v>
      </c>
      <c r="AC229" s="110" t="n">
        <f aca="false">F229*(H229-I229)</f>
        <v>0</v>
      </c>
      <c r="AD229" s="49"/>
      <c r="AE229" s="124"/>
    </row>
    <row r="230" customFormat="false" ht="12" hidden="false" customHeight="true" outlineLevel="0" collapsed="false">
      <c r="A230" s="115" t="n">
        <f aca="false">EDATE(A229,1)</f>
        <v>43952</v>
      </c>
      <c r="B230" s="116" t="n">
        <f aca="false">'Inputs-Summary'!$B$7</f>
        <v>3017157.21662952</v>
      </c>
      <c r="C230" s="57"/>
      <c r="D230" s="117" t="n">
        <f aca="false">B230+C230</f>
        <v>3017157.21662952</v>
      </c>
      <c r="E230" s="106" t="n">
        <f aca="false">IF(Z230=0,0,IF(AND(Z230=1,$H$3=1),D230*U230,IF($H$3=2,D230,"N/A")))</f>
        <v>0</v>
      </c>
      <c r="F230" s="106" t="n">
        <f aca="false">E230*Y230</f>
        <v>0</v>
      </c>
      <c r="G230" s="118" t="n">
        <f aca="false">VLOOKUP($A230,Table,MATCH(G$4,Curves,0))</f>
        <v>3</v>
      </c>
      <c r="H230" s="119" t="n">
        <f aca="false">G230+$H$7</f>
        <v>3</v>
      </c>
      <c r="I230" s="118" t="n">
        <f aca="false">'Inputs-Summary'!$B$16</f>
        <v>1.85</v>
      </c>
      <c r="J230" s="118" t="n">
        <f aca="false">VLOOKUP($A230,Table,MATCH(J$4,Curves,0))</f>
        <v>5</v>
      </c>
      <c r="K230" s="119" t="n">
        <f aca="false">J230+$K$7</f>
        <v>5</v>
      </c>
      <c r="L230" s="120" t="n">
        <f aca="false">K230</f>
        <v>5</v>
      </c>
      <c r="M230" s="118" t="n">
        <f aca="false">VLOOKUP($A230,Table,MATCH(M$4,Curves,0))</f>
        <v>5</v>
      </c>
      <c r="N230" s="119" t="n">
        <f aca="false">M230+$N$7</f>
        <v>5</v>
      </c>
      <c r="O230" s="120" t="n">
        <f aca="false">N230</f>
        <v>5</v>
      </c>
      <c r="P230" s="109"/>
      <c r="Q230" s="120" t="n">
        <f aca="false">IF($F$3=1,M230+J230+G230,J230+G230)</f>
        <v>8</v>
      </c>
      <c r="R230" s="120" t="n">
        <f aca="false">IF($F$3=1,N230+K230+H230,K230+H230)</f>
        <v>8</v>
      </c>
      <c r="S230" s="120" t="n">
        <f aca="false">IF($F$3=1,O230+L230+I230,L230+I230)</f>
        <v>6.85</v>
      </c>
      <c r="T230" s="121"/>
      <c r="U230" s="67" t="n">
        <f aca="false">A231-A230</f>
        <v>31</v>
      </c>
      <c r="V230" s="122" t="n">
        <f aca="false">CHOOSE(F$3,A231+24,A230)</f>
        <v>43952</v>
      </c>
      <c r="W230" s="67" t="n">
        <f aca="false">V230-C$3</f>
        <v>-1974</v>
      </c>
      <c r="X230" s="118" t="n">
        <f aca="false">VLOOKUP($A230,Table,MATCH(X$4,Curves,0))</f>
        <v>2</v>
      </c>
      <c r="Y230" s="123" t="n">
        <f aca="false">1/(1+CHOOSE(F$3,(X231+($K$3/10000))/2,(X230+($K$3/10000))/2))^(2*W230/365.25)</f>
        <v>1794.087958669</v>
      </c>
      <c r="Z230" s="67" t="n">
        <f aca="false">IF(AND(mthbeg&lt;=A230,mthend&gt;=A230),1,0)</f>
        <v>0</v>
      </c>
      <c r="AA230" s="67" t="n">
        <f aca="false">U230*Z230</f>
        <v>0</v>
      </c>
      <c r="AC230" s="110" t="n">
        <f aca="false">F230*(H230-I230)</f>
        <v>0</v>
      </c>
      <c r="AD230" s="49"/>
      <c r="AE230" s="124"/>
    </row>
    <row r="231" customFormat="false" ht="12" hidden="false" customHeight="true" outlineLevel="0" collapsed="false">
      <c r="A231" s="115" t="n">
        <f aca="false">EDATE(A230,1)</f>
        <v>43983</v>
      </c>
      <c r="B231" s="116" t="n">
        <f aca="false">'Inputs-Summary'!$B$7</f>
        <v>3017157.21662952</v>
      </c>
      <c r="C231" s="57"/>
      <c r="D231" s="117" t="n">
        <f aca="false">B231+C231</f>
        <v>3017157.21662952</v>
      </c>
      <c r="E231" s="106" t="n">
        <f aca="false">IF(Z231=0,0,IF(AND(Z231=1,$H$3=1),D231*U231,IF($H$3=2,D231,"N/A")))</f>
        <v>0</v>
      </c>
      <c r="F231" s="106" t="n">
        <f aca="false">E231*Y231</f>
        <v>0</v>
      </c>
      <c r="G231" s="118" t="n">
        <f aca="false">VLOOKUP($A231,Table,MATCH(G$4,Curves,0))</f>
        <v>3</v>
      </c>
      <c r="H231" s="119" t="n">
        <f aca="false">G231+$H$7</f>
        <v>3</v>
      </c>
      <c r="I231" s="118" t="n">
        <f aca="false">'Inputs-Summary'!$B$16</f>
        <v>1.85</v>
      </c>
      <c r="J231" s="118" t="n">
        <f aca="false">VLOOKUP($A231,Table,MATCH(J$4,Curves,0))</f>
        <v>5</v>
      </c>
      <c r="K231" s="119" t="n">
        <f aca="false">J231+$K$7</f>
        <v>5</v>
      </c>
      <c r="L231" s="120" t="n">
        <f aca="false">K231</f>
        <v>5</v>
      </c>
      <c r="M231" s="118" t="n">
        <f aca="false">VLOOKUP($A231,Table,MATCH(M$4,Curves,0))</f>
        <v>5</v>
      </c>
      <c r="N231" s="119" t="n">
        <f aca="false">M231+$N$7</f>
        <v>5</v>
      </c>
      <c r="O231" s="120" t="n">
        <f aca="false">N231</f>
        <v>5</v>
      </c>
      <c r="P231" s="109"/>
      <c r="Q231" s="120" t="n">
        <f aca="false">IF($F$3=1,M231+J231+G231,J231+G231)</f>
        <v>8</v>
      </c>
      <c r="R231" s="120" t="n">
        <f aca="false">IF($F$3=1,N231+K231+H231,K231+H231)</f>
        <v>8</v>
      </c>
      <c r="S231" s="120" t="n">
        <f aca="false">IF($F$3=1,O231+L231+I231,L231+I231)</f>
        <v>6.85</v>
      </c>
      <c r="T231" s="121"/>
      <c r="U231" s="67" t="n">
        <f aca="false">A232-A231</f>
        <v>30</v>
      </c>
      <c r="V231" s="122" t="n">
        <f aca="false">CHOOSE(F$3,A232+24,A231)</f>
        <v>43983</v>
      </c>
      <c r="W231" s="67" t="n">
        <f aca="false">V231-C$3</f>
        <v>-1943</v>
      </c>
      <c r="X231" s="118" t="n">
        <f aca="false">VLOOKUP($A231,Table,MATCH(X$4,Curves,0))</f>
        <v>2</v>
      </c>
      <c r="Y231" s="123" t="n">
        <f aca="false">1/(1+CHOOSE(F$3,(X232+($K$3/10000))/2,(X231+($K$3/10000))/2))^(2*W231/365.25)</f>
        <v>1594.94190352578</v>
      </c>
      <c r="Z231" s="67" t="n">
        <f aca="false">IF(AND(mthbeg&lt;=A231,mthend&gt;=A231),1,0)</f>
        <v>0</v>
      </c>
      <c r="AA231" s="67" t="n">
        <f aca="false">U231*Z231</f>
        <v>0</v>
      </c>
      <c r="AC231" s="110" t="n">
        <f aca="false">F231*(H231-I231)</f>
        <v>0</v>
      </c>
      <c r="AD231" s="49"/>
      <c r="AE231" s="124"/>
    </row>
    <row r="232" customFormat="false" ht="12" hidden="false" customHeight="true" outlineLevel="0" collapsed="false">
      <c r="A232" s="115" t="n">
        <f aca="false">EDATE(A231,1)</f>
        <v>44013</v>
      </c>
      <c r="B232" s="116" t="n">
        <f aca="false">'Inputs-Summary'!$B$7</f>
        <v>3017157.21662952</v>
      </c>
      <c r="C232" s="57"/>
      <c r="D232" s="117" t="n">
        <f aca="false">B232+C232</f>
        <v>3017157.21662952</v>
      </c>
      <c r="E232" s="106" t="n">
        <f aca="false">IF(Z232=0,0,IF(AND(Z232=1,$H$3=1),D232*U232,IF($H$3=2,D232,"N/A")))</f>
        <v>0</v>
      </c>
      <c r="F232" s="106" t="n">
        <f aca="false">E232*Y232</f>
        <v>0</v>
      </c>
      <c r="G232" s="118" t="n">
        <f aca="false">VLOOKUP($A232,Table,MATCH(G$4,Curves,0))</f>
        <v>3</v>
      </c>
      <c r="H232" s="119" t="n">
        <f aca="false">G232+$H$7</f>
        <v>3</v>
      </c>
      <c r="I232" s="118" t="n">
        <f aca="false">'Inputs-Summary'!$B$16</f>
        <v>1.85</v>
      </c>
      <c r="J232" s="118" t="n">
        <f aca="false">VLOOKUP($A232,Table,MATCH(J$4,Curves,0))</f>
        <v>5</v>
      </c>
      <c r="K232" s="119" t="n">
        <f aca="false">J232+$K$7</f>
        <v>5</v>
      </c>
      <c r="L232" s="120" t="n">
        <f aca="false">K232</f>
        <v>5</v>
      </c>
      <c r="M232" s="118" t="n">
        <f aca="false">VLOOKUP($A232,Table,MATCH(M$4,Curves,0))</f>
        <v>5</v>
      </c>
      <c r="N232" s="119" t="n">
        <f aca="false">M232+$N$7</f>
        <v>5</v>
      </c>
      <c r="O232" s="120" t="n">
        <f aca="false">N232</f>
        <v>5</v>
      </c>
      <c r="P232" s="109"/>
      <c r="Q232" s="120" t="n">
        <f aca="false">IF($F$3=1,M232+J232+G232,J232+G232)</f>
        <v>8</v>
      </c>
      <c r="R232" s="120" t="n">
        <f aca="false">IF($F$3=1,N232+K232+H232,K232+H232)</f>
        <v>8</v>
      </c>
      <c r="S232" s="120" t="n">
        <f aca="false">IF($F$3=1,O232+L232+I232,L232+I232)</f>
        <v>6.85</v>
      </c>
      <c r="T232" s="121"/>
      <c r="U232" s="67" t="n">
        <f aca="false">A233-A232</f>
        <v>31</v>
      </c>
      <c r="V232" s="122" t="n">
        <f aca="false">CHOOSE(F$3,A233+24,A232)</f>
        <v>44013</v>
      </c>
      <c r="W232" s="67" t="n">
        <f aca="false">V232-C$3</f>
        <v>-1913</v>
      </c>
      <c r="X232" s="118" t="n">
        <f aca="false">VLOOKUP($A232,Table,MATCH(X$4,Curves,0))</f>
        <v>2</v>
      </c>
      <c r="Y232" s="123" t="n">
        <f aca="false">1/(1+CHOOSE(F$3,(X233+($K$3/10000))/2,(X232+($K$3/10000))/2))^(2*W232/365.25)</f>
        <v>1423.2931384631</v>
      </c>
      <c r="Z232" s="67" t="n">
        <f aca="false">IF(AND(mthbeg&lt;=A232,mthend&gt;=A232),1,0)</f>
        <v>0</v>
      </c>
      <c r="AA232" s="67" t="n">
        <f aca="false">U232*Z232</f>
        <v>0</v>
      </c>
      <c r="AC232" s="110" t="n">
        <f aca="false">F232*(H232-I232)</f>
        <v>0</v>
      </c>
      <c r="AD232" s="49"/>
      <c r="AE232" s="124"/>
    </row>
    <row r="233" customFormat="false" ht="12" hidden="false" customHeight="true" outlineLevel="0" collapsed="false">
      <c r="A233" s="115" t="n">
        <f aca="false">EDATE(A232,1)</f>
        <v>44044</v>
      </c>
      <c r="B233" s="116" t="n">
        <f aca="false">'Inputs-Summary'!$B$7</f>
        <v>3017157.21662952</v>
      </c>
      <c r="C233" s="57"/>
      <c r="D233" s="117" t="n">
        <f aca="false">B233+C233</f>
        <v>3017157.21662952</v>
      </c>
      <c r="E233" s="106" t="n">
        <f aca="false">IF(Z233=0,0,IF(AND(Z233=1,$H$3=1),D233*U233,IF($H$3=2,D233,"N/A")))</f>
        <v>0</v>
      </c>
      <c r="F233" s="106" t="n">
        <f aca="false">E233*Y233</f>
        <v>0</v>
      </c>
      <c r="G233" s="118" t="n">
        <f aca="false">VLOOKUP($A233,Table,MATCH(G$4,Curves,0))</f>
        <v>3</v>
      </c>
      <c r="H233" s="119" t="n">
        <f aca="false">G233+$H$7</f>
        <v>3</v>
      </c>
      <c r="I233" s="118" t="n">
        <f aca="false">'Inputs-Summary'!$B$16</f>
        <v>1.85</v>
      </c>
      <c r="J233" s="118" t="n">
        <f aca="false">VLOOKUP($A233,Table,MATCH(J$4,Curves,0))</f>
        <v>5</v>
      </c>
      <c r="K233" s="119" t="n">
        <f aca="false">J233+$K$7</f>
        <v>5</v>
      </c>
      <c r="L233" s="120" t="n">
        <f aca="false">K233</f>
        <v>5</v>
      </c>
      <c r="M233" s="118" t="n">
        <f aca="false">VLOOKUP($A233,Table,MATCH(M$4,Curves,0))</f>
        <v>5</v>
      </c>
      <c r="N233" s="119" t="n">
        <f aca="false">M233+$N$7</f>
        <v>5</v>
      </c>
      <c r="O233" s="120" t="n">
        <f aca="false">N233</f>
        <v>5</v>
      </c>
      <c r="P233" s="109"/>
      <c r="Q233" s="120" t="n">
        <f aca="false">IF($F$3=1,M233+J233+G233,J233+G233)</f>
        <v>8</v>
      </c>
      <c r="R233" s="120" t="n">
        <f aca="false">IF($F$3=1,N233+K233+H233,K233+H233)</f>
        <v>8</v>
      </c>
      <c r="S233" s="120" t="n">
        <f aca="false">IF($F$3=1,O233+L233+I233,L233+I233)</f>
        <v>6.85</v>
      </c>
      <c r="T233" s="121"/>
      <c r="U233" s="67" t="n">
        <f aca="false">A234-A233</f>
        <v>31</v>
      </c>
      <c r="V233" s="122" t="n">
        <f aca="false">CHOOSE(F$3,A234+24,A233)</f>
        <v>44044</v>
      </c>
      <c r="W233" s="67" t="n">
        <f aca="false">V233-C$3</f>
        <v>-1882</v>
      </c>
      <c r="X233" s="118" t="n">
        <f aca="false">VLOOKUP($A233,Table,MATCH(X$4,Curves,0))</f>
        <v>2</v>
      </c>
      <c r="Y233" s="123" t="n">
        <f aca="false">1/(1+CHOOSE(F$3,(X234+($K$3/10000))/2,(X233+($K$3/10000))/2))^(2*W233/365.25)</f>
        <v>1265.30578200839</v>
      </c>
      <c r="Z233" s="67" t="n">
        <f aca="false">IF(AND(mthbeg&lt;=A233,mthend&gt;=A233),1,0)</f>
        <v>0</v>
      </c>
      <c r="AA233" s="67" t="n">
        <f aca="false">U233*Z233</f>
        <v>0</v>
      </c>
      <c r="AC233" s="110" t="n">
        <f aca="false">F233*(H233-I233)</f>
        <v>0</v>
      </c>
      <c r="AD233" s="49"/>
      <c r="AE233" s="124"/>
    </row>
    <row r="234" customFormat="false" ht="12" hidden="false" customHeight="true" outlineLevel="0" collapsed="false">
      <c r="A234" s="115" t="n">
        <f aca="false">EDATE(A233,1)</f>
        <v>44075</v>
      </c>
      <c r="B234" s="116" t="n">
        <f aca="false">'Inputs-Summary'!$B$7</f>
        <v>3017157.21662952</v>
      </c>
      <c r="C234" s="57"/>
      <c r="D234" s="117" t="n">
        <f aca="false">B234+C234</f>
        <v>3017157.21662952</v>
      </c>
      <c r="E234" s="106" t="n">
        <f aca="false">IF(Z234=0,0,IF(AND(Z234=1,$H$3=1),D234*U234,IF($H$3=2,D234,"N/A")))</f>
        <v>0</v>
      </c>
      <c r="F234" s="106" t="n">
        <f aca="false">E234*Y234</f>
        <v>0</v>
      </c>
      <c r="G234" s="118" t="n">
        <f aca="false">VLOOKUP($A234,Table,MATCH(G$4,Curves,0))</f>
        <v>3</v>
      </c>
      <c r="H234" s="119" t="n">
        <f aca="false">G234+$H$7</f>
        <v>3</v>
      </c>
      <c r="I234" s="118" t="n">
        <f aca="false">'Inputs-Summary'!$B$16</f>
        <v>1.85</v>
      </c>
      <c r="J234" s="118" t="n">
        <f aca="false">VLOOKUP($A234,Table,MATCH(J$4,Curves,0))</f>
        <v>5</v>
      </c>
      <c r="K234" s="119" t="n">
        <f aca="false">J234+$K$7</f>
        <v>5</v>
      </c>
      <c r="L234" s="120" t="n">
        <f aca="false">K234</f>
        <v>5</v>
      </c>
      <c r="M234" s="118" t="n">
        <f aca="false">VLOOKUP($A234,Table,MATCH(M$4,Curves,0))</f>
        <v>5</v>
      </c>
      <c r="N234" s="119" t="n">
        <f aca="false">M234+$N$7</f>
        <v>5</v>
      </c>
      <c r="O234" s="120" t="n">
        <f aca="false">N234</f>
        <v>5</v>
      </c>
      <c r="P234" s="109"/>
      <c r="Q234" s="120" t="n">
        <f aca="false">IF($F$3=1,M234+J234+G234,J234+G234)</f>
        <v>8</v>
      </c>
      <c r="R234" s="120" t="n">
        <f aca="false">IF($F$3=1,N234+K234+H234,K234+H234)</f>
        <v>8</v>
      </c>
      <c r="S234" s="120" t="n">
        <f aca="false">IF($F$3=1,O234+L234+I234,L234+I234)</f>
        <v>6.85</v>
      </c>
      <c r="T234" s="121"/>
      <c r="U234" s="67" t="n">
        <f aca="false">A235-A234</f>
        <v>30</v>
      </c>
      <c r="V234" s="122" t="n">
        <f aca="false">CHOOSE(F$3,A235+24,A234)</f>
        <v>44075</v>
      </c>
      <c r="W234" s="67" t="n">
        <f aca="false">V234-C$3</f>
        <v>-1851</v>
      </c>
      <c r="X234" s="118" t="n">
        <f aca="false">VLOOKUP($A234,Table,MATCH(X$4,Curves,0))</f>
        <v>2</v>
      </c>
      <c r="Y234" s="123" t="n">
        <f aca="false">1/(1+CHOOSE(F$3,(X235+($K$3/10000))/2,(X234+($K$3/10000))/2))^(2*W234/365.25)</f>
        <v>1124.85522392995</v>
      </c>
      <c r="Z234" s="67" t="n">
        <f aca="false">IF(AND(mthbeg&lt;=A234,mthend&gt;=A234),1,0)</f>
        <v>0</v>
      </c>
      <c r="AA234" s="67" t="n">
        <f aca="false">U234*Z234</f>
        <v>0</v>
      </c>
      <c r="AC234" s="110" t="n">
        <f aca="false">F234*(H234-I234)</f>
        <v>0</v>
      </c>
      <c r="AD234" s="49"/>
      <c r="AE234" s="124"/>
    </row>
    <row r="235" customFormat="false" ht="12" hidden="false" customHeight="true" outlineLevel="0" collapsed="false">
      <c r="A235" s="115" t="n">
        <f aca="false">EDATE(A234,1)</f>
        <v>44105</v>
      </c>
      <c r="B235" s="116" t="n">
        <f aca="false">'Inputs-Summary'!$B$7</f>
        <v>3017157.21662952</v>
      </c>
      <c r="C235" s="57"/>
      <c r="D235" s="117" t="n">
        <f aca="false">B235+C235</f>
        <v>3017157.21662952</v>
      </c>
      <c r="E235" s="106" t="n">
        <f aca="false">IF(Z235=0,0,IF(AND(Z235=1,$H$3=1),D235*U235,IF($H$3=2,D235,"N/A")))</f>
        <v>0</v>
      </c>
      <c r="F235" s="106" t="n">
        <f aca="false">E235*Y235</f>
        <v>0</v>
      </c>
      <c r="G235" s="118" t="n">
        <f aca="false">VLOOKUP($A235,Table,MATCH(G$4,Curves,0))</f>
        <v>3</v>
      </c>
      <c r="H235" s="119" t="n">
        <f aca="false">G235+$H$7</f>
        <v>3</v>
      </c>
      <c r="I235" s="118" t="n">
        <f aca="false">'Inputs-Summary'!$B$16</f>
        <v>1.85</v>
      </c>
      <c r="J235" s="118" t="n">
        <f aca="false">VLOOKUP($A235,Table,MATCH(J$4,Curves,0))</f>
        <v>5</v>
      </c>
      <c r="K235" s="119" t="n">
        <f aca="false">J235+$K$7</f>
        <v>5</v>
      </c>
      <c r="L235" s="120" t="n">
        <f aca="false">K235</f>
        <v>5</v>
      </c>
      <c r="M235" s="118" t="n">
        <f aca="false">VLOOKUP($A235,Table,MATCH(M$4,Curves,0))</f>
        <v>5</v>
      </c>
      <c r="N235" s="119" t="n">
        <f aca="false">M235+$N$7</f>
        <v>5</v>
      </c>
      <c r="O235" s="120" t="n">
        <f aca="false">N235</f>
        <v>5</v>
      </c>
      <c r="P235" s="109"/>
      <c r="Q235" s="120" t="n">
        <f aca="false">IF($F$3=1,M235+J235+G235,J235+G235)</f>
        <v>8</v>
      </c>
      <c r="R235" s="120" t="n">
        <f aca="false">IF($F$3=1,N235+K235+H235,K235+H235)</f>
        <v>8</v>
      </c>
      <c r="S235" s="120" t="n">
        <f aca="false">IF($F$3=1,O235+L235+I235,L235+I235)</f>
        <v>6.85</v>
      </c>
      <c r="T235" s="121"/>
      <c r="U235" s="67" t="n">
        <f aca="false">A236-A235</f>
        <v>31</v>
      </c>
      <c r="V235" s="122" t="n">
        <f aca="false">CHOOSE(F$3,A236+24,A235)</f>
        <v>44105</v>
      </c>
      <c r="W235" s="67" t="n">
        <f aca="false">V235-C$3</f>
        <v>-1821</v>
      </c>
      <c r="X235" s="118" t="n">
        <f aca="false">VLOOKUP($A235,Table,MATCH(X$4,Curves,0))</f>
        <v>2</v>
      </c>
      <c r="Y235" s="123" t="n">
        <f aca="false">1/(1+CHOOSE(F$3,(X236+($K$3/10000))/2,(X235+($K$3/10000))/2))^(2*W235/365.25)</f>
        <v>1003.79751666484</v>
      </c>
      <c r="Z235" s="67" t="n">
        <f aca="false">IF(AND(mthbeg&lt;=A235,mthend&gt;=A235),1,0)</f>
        <v>0</v>
      </c>
      <c r="AA235" s="67" t="n">
        <f aca="false">U235*Z235</f>
        <v>0</v>
      </c>
      <c r="AC235" s="110" t="n">
        <f aca="false">F235*(H235-I235)</f>
        <v>0</v>
      </c>
      <c r="AD235" s="49"/>
      <c r="AE235" s="124"/>
    </row>
    <row r="236" customFormat="false" ht="12" hidden="false" customHeight="true" outlineLevel="0" collapsed="false">
      <c r="A236" s="115" t="n">
        <f aca="false">EDATE(A235,1)</f>
        <v>44136</v>
      </c>
      <c r="B236" s="116" t="n">
        <f aca="false">'Inputs-Summary'!$B$7</f>
        <v>3017157.21662952</v>
      </c>
      <c r="C236" s="57"/>
      <c r="D236" s="117" t="n">
        <f aca="false">B236+C236</f>
        <v>3017157.21662952</v>
      </c>
      <c r="E236" s="106" t="n">
        <f aca="false">IF(Z236=0,0,IF(AND(Z236=1,$H$3=1),D236*U236,IF($H$3=2,D236,"N/A")))</f>
        <v>0</v>
      </c>
      <c r="F236" s="106" t="n">
        <f aca="false">E236*Y236</f>
        <v>0</v>
      </c>
      <c r="G236" s="118" t="n">
        <f aca="false">VLOOKUP($A236,Table,MATCH(G$4,Curves,0))</f>
        <v>3</v>
      </c>
      <c r="H236" s="119" t="n">
        <f aca="false">G236+$H$7</f>
        <v>3</v>
      </c>
      <c r="I236" s="118" t="n">
        <f aca="false">'Inputs-Summary'!$B$16</f>
        <v>1.85</v>
      </c>
      <c r="J236" s="118" t="n">
        <f aca="false">VLOOKUP($A236,Table,MATCH(J$4,Curves,0))</f>
        <v>5</v>
      </c>
      <c r="K236" s="119" t="n">
        <f aca="false">J236+$K$7</f>
        <v>5</v>
      </c>
      <c r="L236" s="120" t="n">
        <f aca="false">K236</f>
        <v>5</v>
      </c>
      <c r="M236" s="118" t="n">
        <f aca="false">VLOOKUP($A236,Table,MATCH(M$4,Curves,0))</f>
        <v>5</v>
      </c>
      <c r="N236" s="119" t="n">
        <f aca="false">M236+$N$7</f>
        <v>5</v>
      </c>
      <c r="O236" s="120" t="n">
        <f aca="false">N236</f>
        <v>5</v>
      </c>
      <c r="P236" s="109"/>
      <c r="Q236" s="120" t="n">
        <f aca="false">IF($F$3=1,M236+J236+G236,J236+G236)</f>
        <v>8</v>
      </c>
      <c r="R236" s="120" t="n">
        <f aca="false">IF($F$3=1,N236+K236+H236,K236+H236)</f>
        <v>8</v>
      </c>
      <c r="S236" s="120" t="n">
        <f aca="false">IF($F$3=1,O236+L236+I236,L236+I236)</f>
        <v>6.85</v>
      </c>
      <c r="T236" s="121"/>
      <c r="U236" s="67" t="n">
        <f aca="false">A237-A236</f>
        <v>30</v>
      </c>
      <c r="V236" s="122" t="n">
        <f aca="false">CHOOSE(F$3,A237+24,A236)</f>
        <v>44136</v>
      </c>
      <c r="W236" s="67" t="n">
        <f aca="false">V236-C$3</f>
        <v>-1790</v>
      </c>
      <c r="X236" s="118" t="n">
        <f aca="false">VLOOKUP($A236,Table,MATCH(X$4,Curves,0))</f>
        <v>2</v>
      </c>
      <c r="Y236" s="123" t="n">
        <f aca="false">1/(1+CHOOSE(F$3,(X237+($K$3/10000))/2,(X236+($K$3/10000))/2))^(2*W236/365.25)</f>
        <v>892.374710084794</v>
      </c>
      <c r="Z236" s="67" t="n">
        <f aca="false">IF(AND(mthbeg&lt;=A236,mthend&gt;=A236),1,0)</f>
        <v>0</v>
      </c>
      <c r="AA236" s="67" t="n">
        <f aca="false">U236*Z236</f>
        <v>0</v>
      </c>
      <c r="AC236" s="110" t="n">
        <f aca="false">F236*(H236-I236)</f>
        <v>0</v>
      </c>
      <c r="AD236" s="49"/>
      <c r="AE236" s="124"/>
    </row>
    <row r="237" customFormat="false" ht="12" hidden="false" customHeight="true" outlineLevel="0" collapsed="false">
      <c r="A237" s="115" t="n">
        <f aca="false">EDATE(A236,1)</f>
        <v>44166</v>
      </c>
      <c r="B237" s="116" t="n">
        <f aca="false">'Inputs-Summary'!$B$7</f>
        <v>3017157.21662952</v>
      </c>
      <c r="C237" s="57"/>
      <c r="D237" s="117" t="n">
        <f aca="false">B237+C237</f>
        <v>3017157.21662952</v>
      </c>
      <c r="E237" s="106" t="n">
        <f aca="false">IF(Z237=0,0,IF(AND(Z237=1,$H$3=1),D237*U237,IF($H$3=2,D237,"N/A")))</f>
        <v>0</v>
      </c>
      <c r="F237" s="106" t="n">
        <f aca="false">E237*Y237</f>
        <v>0</v>
      </c>
      <c r="G237" s="118" t="n">
        <f aca="false">VLOOKUP($A237,Table,MATCH(G$4,Curves,0))</f>
        <v>3</v>
      </c>
      <c r="H237" s="119" t="n">
        <f aca="false">G237+$H$7</f>
        <v>3</v>
      </c>
      <c r="I237" s="118" t="n">
        <f aca="false">'Inputs-Summary'!$B$16</f>
        <v>1.85</v>
      </c>
      <c r="J237" s="118" t="n">
        <f aca="false">VLOOKUP($A237,Table,MATCH(J$4,Curves,0))</f>
        <v>5</v>
      </c>
      <c r="K237" s="119" t="n">
        <f aca="false">J237+$K$7</f>
        <v>5</v>
      </c>
      <c r="L237" s="120" t="n">
        <f aca="false">K237</f>
        <v>5</v>
      </c>
      <c r="M237" s="118" t="n">
        <f aca="false">VLOOKUP($A237,Table,MATCH(M$4,Curves,0))</f>
        <v>5</v>
      </c>
      <c r="N237" s="119" t="n">
        <f aca="false">M237+$N$7</f>
        <v>5</v>
      </c>
      <c r="O237" s="120" t="n">
        <f aca="false">N237</f>
        <v>5</v>
      </c>
      <c r="P237" s="109"/>
      <c r="Q237" s="120" t="n">
        <f aca="false">IF($F$3=1,M237+J237+G237,J237+G237)</f>
        <v>8</v>
      </c>
      <c r="R237" s="120" t="n">
        <f aca="false">IF($F$3=1,N237+K237+H237,K237+H237)</f>
        <v>8</v>
      </c>
      <c r="S237" s="120" t="n">
        <f aca="false">IF($F$3=1,O237+L237+I237,L237+I237)</f>
        <v>6.85</v>
      </c>
      <c r="T237" s="121"/>
      <c r="U237" s="67" t="n">
        <f aca="false">A238-A237</f>
        <v>31</v>
      </c>
      <c r="V237" s="122" t="n">
        <f aca="false">CHOOSE(F$3,A238+24,A237)</f>
        <v>44166</v>
      </c>
      <c r="W237" s="67" t="n">
        <f aca="false">V237-C$3</f>
        <v>-1760</v>
      </c>
      <c r="X237" s="118" t="n">
        <f aca="false">VLOOKUP($A237,Table,MATCH(X$4,Curves,0))</f>
        <v>2</v>
      </c>
      <c r="Y237" s="123" t="n">
        <f aca="false">1/(1+CHOOSE(F$3,(X238+($K$3/10000))/2,(X237+($K$3/10000))/2))^(2*W237/365.25)</f>
        <v>796.336718593934</v>
      </c>
      <c r="Z237" s="67" t="n">
        <f aca="false">IF(AND(mthbeg&lt;=A237,mthend&gt;=A237),1,0)</f>
        <v>0</v>
      </c>
      <c r="AA237" s="67" t="n">
        <f aca="false">U237*Z237</f>
        <v>0</v>
      </c>
      <c r="AC237" s="110" t="n">
        <f aca="false">F237*(H237-I237)</f>
        <v>0</v>
      </c>
      <c r="AD237" s="49"/>
      <c r="AE237" s="124"/>
    </row>
    <row r="238" customFormat="false" ht="12" hidden="false" customHeight="true" outlineLevel="0" collapsed="false">
      <c r="A238" s="115" t="n">
        <f aca="false">EDATE(A237,1)</f>
        <v>44197</v>
      </c>
      <c r="B238" s="116" t="n">
        <f aca="false">'Inputs-Summary'!$B$7</f>
        <v>3017157.21662952</v>
      </c>
      <c r="C238" s="57"/>
      <c r="D238" s="117" t="n">
        <f aca="false">B238+C238</f>
        <v>3017157.21662952</v>
      </c>
      <c r="E238" s="106" t="n">
        <f aca="false">IF(Z238=0,0,IF(AND(Z238=1,$H$3=1),D238*U238,IF($H$3=2,D238,"N/A")))</f>
        <v>0</v>
      </c>
      <c r="F238" s="106" t="n">
        <f aca="false">E238*Y238</f>
        <v>0</v>
      </c>
      <c r="G238" s="118" t="n">
        <f aca="false">VLOOKUP($A238,Table,MATCH(G$4,Curves,0))</f>
        <v>3</v>
      </c>
      <c r="H238" s="119" t="n">
        <f aca="false">G238+$H$7</f>
        <v>3</v>
      </c>
      <c r="I238" s="118" t="n">
        <f aca="false">'Inputs-Summary'!$B$16</f>
        <v>1.85</v>
      </c>
      <c r="J238" s="118" t="n">
        <f aca="false">VLOOKUP($A238,Table,MATCH(J$4,Curves,0))</f>
        <v>5</v>
      </c>
      <c r="K238" s="119" t="n">
        <f aca="false">J238+$K$7</f>
        <v>5</v>
      </c>
      <c r="L238" s="120" t="n">
        <f aca="false">K238</f>
        <v>5</v>
      </c>
      <c r="M238" s="118" t="n">
        <f aca="false">VLOOKUP($A238,Table,MATCH(M$4,Curves,0))</f>
        <v>5</v>
      </c>
      <c r="N238" s="119" t="n">
        <f aca="false">M238+$N$7</f>
        <v>5</v>
      </c>
      <c r="O238" s="120" t="n">
        <f aca="false">N238</f>
        <v>5</v>
      </c>
      <c r="P238" s="109"/>
      <c r="Q238" s="120" t="n">
        <f aca="false">IF($F$3=1,M238+J238+G238,J238+G238)</f>
        <v>8</v>
      </c>
      <c r="R238" s="120" t="n">
        <f aca="false">IF($F$3=1,N238+K238+H238,K238+H238)</f>
        <v>8</v>
      </c>
      <c r="S238" s="120" t="n">
        <f aca="false">IF($F$3=1,O238+L238+I238,L238+I238)</f>
        <v>6.85</v>
      </c>
      <c r="T238" s="121"/>
      <c r="U238" s="67" t="n">
        <f aca="false">A239-A238</f>
        <v>31</v>
      </c>
      <c r="V238" s="122" t="n">
        <f aca="false">CHOOSE(F$3,A239+24,A238)</f>
        <v>44197</v>
      </c>
      <c r="W238" s="67" t="n">
        <f aca="false">V238-C$3</f>
        <v>-1729</v>
      </c>
      <c r="X238" s="118" t="n">
        <f aca="false">VLOOKUP($A238,Table,MATCH(X$4,Curves,0))</f>
        <v>2</v>
      </c>
      <c r="Y238" s="123" t="n">
        <f aca="false">1/(1+CHOOSE(F$3,(X239+($K$3/10000))/2,(X238+($K$3/10000))/2))^(2*W238/365.25)</f>
        <v>707.942325605906</v>
      </c>
      <c r="Z238" s="67" t="n">
        <f aca="false">IF(AND(mthbeg&lt;=A238,mthend&gt;=A238),1,0)</f>
        <v>0</v>
      </c>
      <c r="AA238" s="67" t="n">
        <f aca="false">U238*Z238</f>
        <v>0</v>
      </c>
      <c r="AC238" s="110" t="n">
        <f aca="false">F238*(H238-I238)</f>
        <v>0</v>
      </c>
      <c r="AD238" s="49"/>
      <c r="AE238" s="124"/>
    </row>
    <row r="239" customFormat="false" ht="12" hidden="false" customHeight="true" outlineLevel="0" collapsed="false">
      <c r="A239" s="115" t="n">
        <f aca="false">EDATE(A238,1)</f>
        <v>44228</v>
      </c>
      <c r="B239" s="116" t="n">
        <f aca="false">'Inputs-Summary'!$B$7</f>
        <v>3017157.21662952</v>
      </c>
      <c r="C239" s="57"/>
      <c r="D239" s="117" t="n">
        <f aca="false">B239+C239</f>
        <v>3017157.21662952</v>
      </c>
      <c r="E239" s="106" t="n">
        <f aca="false">IF(Z239=0,0,IF(AND(Z239=1,$H$3=1),D239*U239,IF($H$3=2,D239,"N/A")))</f>
        <v>0</v>
      </c>
      <c r="F239" s="106" t="n">
        <f aca="false">E239*Y239</f>
        <v>0</v>
      </c>
      <c r="G239" s="118" t="n">
        <f aca="false">VLOOKUP($A239,Table,MATCH(G$4,Curves,0))</f>
        <v>3</v>
      </c>
      <c r="H239" s="119" t="n">
        <f aca="false">G239+$H$7</f>
        <v>3</v>
      </c>
      <c r="I239" s="118" t="n">
        <f aca="false">'Inputs-Summary'!$B$16</f>
        <v>1.85</v>
      </c>
      <c r="J239" s="118" t="n">
        <f aca="false">VLOOKUP($A239,Table,MATCH(J$4,Curves,0))</f>
        <v>5</v>
      </c>
      <c r="K239" s="119" t="n">
        <f aca="false">J239+$K$7</f>
        <v>5</v>
      </c>
      <c r="L239" s="120" t="n">
        <f aca="false">K239</f>
        <v>5</v>
      </c>
      <c r="M239" s="118" t="n">
        <f aca="false">VLOOKUP($A239,Table,MATCH(M$4,Curves,0))</f>
        <v>5</v>
      </c>
      <c r="N239" s="119" t="n">
        <f aca="false">M239+$N$7</f>
        <v>5</v>
      </c>
      <c r="O239" s="120" t="n">
        <f aca="false">N239</f>
        <v>5</v>
      </c>
      <c r="P239" s="109"/>
      <c r="Q239" s="120" t="n">
        <f aca="false">IF($F$3=1,M239+J239+G239,J239+G239)</f>
        <v>8</v>
      </c>
      <c r="R239" s="120" t="n">
        <f aca="false">IF($F$3=1,N239+K239+H239,K239+H239)</f>
        <v>8</v>
      </c>
      <c r="S239" s="120" t="n">
        <f aca="false">IF($F$3=1,O239+L239+I239,L239+I239)</f>
        <v>6.85</v>
      </c>
      <c r="T239" s="121"/>
      <c r="U239" s="67" t="n">
        <f aca="false">A240-A239</f>
        <v>28</v>
      </c>
      <c r="V239" s="122" t="n">
        <f aca="false">CHOOSE(F$3,A240+24,A239)</f>
        <v>44228</v>
      </c>
      <c r="W239" s="67" t="n">
        <f aca="false">V239-C$3</f>
        <v>-1698</v>
      </c>
      <c r="X239" s="118" t="n">
        <f aca="false">VLOOKUP($A239,Table,MATCH(X$4,Curves,0))</f>
        <v>2</v>
      </c>
      <c r="Y239" s="123" t="n">
        <f aca="false">1/(1+CHOOSE(F$3,(X240+($K$3/10000))/2,(X239+($K$3/10000))/2))^(2*W239/365.25)</f>
        <v>629.359823152723</v>
      </c>
      <c r="Z239" s="67" t="n">
        <f aca="false">IF(AND(mthbeg&lt;=A239,mthend&gt;=A239),1,0)</f>
        <v>0</v>
      </c>
      <c r="AA239" s="67" t="n">
        <f aca="false">U239*Z239</f>
        <v>0</v>
      </c>
      <c r="AC239" s="110" t="n">
        <f aca="false">F239*(H239-I239)</f>
        <v>0</v>
      </c>
      <c r="AD239" s="49"/>
      <c r="AE239" s="124"/>
    </row>
    <row r="240" customFormat="false" ht="12" hidden="false" customHeight="true" outlineLevel="0" collapsed="false">
      <c r="A240" s="115" t="n">
        <f aca="false">EDATE(A239,1)</f>
        <v>44256</v>
      </c>
      <c r="B240" s="116" t="n">
        <f aca="false">'Inputs-Summary'!$B$7</f>
        <v>3017157.21662952</v>
      </c>
      <c r="C240" s="57"/>
      <c r="D240" s="117" t="n">
        <f aca="false">B240+C240</f>
        <v>3017157.21662952</v>
      </c>
      <c r="E240" s="106" t="n">
        <f aca="false">IF(Z240=0,0,IF(AND(Z240=1,$H$3=1),D240*U240,IF($H$3=2,D240,"N/A")))</f>
        <v>0</v>
      </c>
      <c r="F240" s="106" t="n">
        <f aca="false">E240*Y240</f>
        <v>0</v>
      </c>
      <c r="G240" s="118" t="n">
        <f aca="false">VLOOKUP($A240,Table,MATCH(G$4,Curves,0))</f>
        <v>3</v>
      </c>
      <c r="H240" s="119" t="n">
        <f aca="false">G240+$H$7</f>
        <v>3</v>
      </c>
      <c r="I240" s="118" t="n">
        <f aca="false">'Inputs-Summary'!$B$16</f>
        <v>1.85</v>
      </c>
      <c r="J240" s="118" t="n">
        <f aca="false">VLOOKUP($A240,Table,MATCH(J$4,Curves,0))</f>
        <v>5</v>
      </c>
      <c r="K240" s="119" t="n">
        <f aca="false">J240+$K$7</f>
        <v>5</v>
      </c>
      <c r="L240" s="120" t="n">
        <f aca="false">K240</f>
        <v>5</v>
      </c>
      <c r="M240" s="118" t="n">
        <f aca="false">VLOOKUP($A240,Table,MATCH(M$4,Curves,0))</f>
        <v>5</v>
      </c>
      <c r="N240" s="119" t="n">
        <f aca="false">M240+$N$7</f>
        <v>5</v>
      </c>
      <c r="O240" s="120" t="n">
        <f aca="false">N240</f>
        <v>5</v>
      </c>
      <c r="P240" s="109"/>
      <c r="Q240" s="120" t="n">
        <f aca="false">IF($F$3=1,M240+J240+G240,J240+G240)</f>
        <v>8</v>
      </c>
      <c r="R240" s="120" t="n">
        <f aca="false">IF($F$3=1,N240+K240+H240,K240+H240)</f>
        <v>8</v>
      </c>
      <c r="S240" s="120" t="n">
        <f aca="false">IF($F$3=1,O240+L240+I240,L240+I240)</f>
        <v>6.85</v>
      </c>
      <c r="T240" s="121"/>
      <c r="U240" s="67" t="n">
        <f aca="false">A241-A240</f>
        <v>31</v>
      </c>
      <c r="V240" s="122" t="n">
        <f aca="false">CHOOSE(F$3,A241+24,A240)</f>
        <v>44256</v>
      </c>
      <c r="W240" s="67" t="n">
        <f aca="false">V240-C$3</f>
        <v>-1670</v>
      </c>
      <c r="X240" s="118" t="n">
        <f aca="false">VLOOKUP($A240,Table,MATCH(X$4,Curves,0))</f>
        <v>2</v>
      </c>
      <c r="Y240" s="123" t="n">
        <f aca="false">1/(1+CHOOSE(F$3,(X241+($K$3/10000))/2,(X240+($K$3/10000))/2))^(2*W240/365.25)</f>
        <v>565.907178973122</v>
      </c>
      <c r="Z240" s="67" t="n">
        <f aca="false">IF(AND(mthbeg&lt;=A240,mthend&gt;=A240),1,0)</f>
        <v>0</v>
      </c>
      <c r="AA240" s="67" t="n">
        <f aca="false">U240*Z240</f>
        <v>0</v>
      </c>
      <c r="AC240" s="110" t="n">
        <f aca="false">F240*(H240-I240)</f>
        <v>0</v>
      </c>
      <c r="AD240" s="49"/>
      <c r="AE240" s="124"/>
    </row>
    <row r="241" customFormat="false" ht="12" hidden="false" customHeight="true" outlineLevel="0" collapsed="false">
      <c r="A241" s="115" t="n">
        <f aca="false">EDATE(A240,1)</f>
        <v>44287</v>
      </c>
      <c r="B241" s="116" t="n">
        <f aca="false">'Inputs-Summary'!$B$7</f>
        <v>3017157.21662952</v>
      </c>
      <c r="C241" s="57"/>
      <c r="D241" s="117" t="n">
        <f aca="false">B241+C241</f>
        <v>3017157.21662952</v>
      </c>
      <c r="E241" s="106" t="n">
        <f aca="false">IF(Z241=0,0,IF(AND(Z241=1,$H$3=1),D241*U241,IF($H$3=2,D241,"N/A")))</f>
        <v>0</v>
      </c>
      <c r="F241" s="106" t="n">
        <f aca="false">E241*Y241</f>
        <v>0</v>
      </c>
      <c r="G241" s="118" t="n">
        <f aca="false">VLOOKUP($A241,Table,MATCH(G$4,Curves,0))</f>
        <v>3</v>
      </c>
      <c r="H241" s="119" t="n">
        <f aca="false">G241+$H$7</f>
        <v>3</v>
      </c>
      <c r="I241" s="118" t="n">
        <f aca="false">'Inputs-Summary'!$B$16</f>
        <v>1.85</v>
      </c>
      <c r="J241" s="118" t="n">
        <f aca="false">VLOOKUP($A241,Table,MATCH(J$4,Curves,0))</f>
        <v>5</v>
      </c>
      <c r="K241" s="119" t="n">
        <f aca="false">J241+$K$7</f>
        <v>5</v>
      </c>
      <c r="L241" s="120" t="n">
        <f aca="false">K241</f>
        <v>5</v>
      </c>
      <c r="M241" s="118" t="n">
        <f aca="false">VLOOKUP($A241,Table,MATCH(M$4,Curves,0))</f>
        <v>5</v>
      </c>
      <c r="N241" s="119" t="n">
        <f aca="false">M241+$N$7</f>
        <v>5</v>
      </c>
      <c r="O241" s="120" t="n">
        <f aca="false">N241</f>
        <v>5</v>
      </c>
      <c r="P241" s="109"/>
      <c r="Q241" s="120" t="n">
        <f aca="false">IF($F$3=1,M241+J241+G241,J241+G241)</f>
        <v>8</v>
      </c>
      <c r="R241" s="120" t="n">
        <f aca="false">IF($F$3=1,N241+K241+H241,K241+H241)</f>
        <v>8</v>
      </c>
      <c r="S241" s="120" t="n">
        <f aca="false">IF($F$3=1,O241+L241+I241,L241+I241)</f>
        <v>6.85</v>
      </c>
      <c r="T241" s="121"/>
      <c r="U241" s="67" t="n">
        <f aca="false">A242-A241</f>
        <v>30</v>
      </c>
      <c r="V241" s="122" t="n">
        <f aca="false">CHOOSE(F$3,A242+24,A241)</f>
        <v>44287</v>
      </c>
      <c r="W241" s="67" t="n">
        <f aca="false">V241-C$3</f>
        <v>-1639</v>
      </c>
      <c r="X241" s="118" t="n">
        <f aca="false">VLOOKUP($A241,Table,MATCH(X$4,Curves,0))</f>
        <v>2</v>
      </c>
      <c r="Y241" s="123" t="n">
        <f aca="false">1/(1+CHOOSE(F$3,(X242+($K$3/10000))/2,(X241+($K$3/10000))/2))^(2*W241/365.25)</f>
        <v>503.090759228946</v>
      </c>
      <c r="Z241" s="67" t="n">
        <f aca="false">IF(AND(mthbeg&lt;=A241,mthend&gt;=A241),1,0)</f>
        <v>0</v>
      </c>
      <c r="AA241" s="67" t="n">
        <f aca="false">U241*Z241</f>
        <v>0</v>
      </c>
      <c r="AC241" s="110" t="n">
        <f aca="false">F241*(H241-I241)</f>
        <v>0</v>
      </c>
      <c r="AD241" s="49"/>
      <c r="AE241" s="124"/>
    </row>
    <row r="242" customFormat="false" ht="12" hidden="false" customHeight="true" outlineLevel="0" collapsed="false">
      <c r="A242" s="115" t="n">
        <f aca="false">EDATE(A241,1)</f>
        <v>44317</v>
      </c>
      <c r="B242" s="116" t="n">
        <f aca="false">'Inputs-Summary'!$B$7</f>
        <v>3017157.21662952</v>
      </c>
      <c r="C242" s="57"/>
      <c r="D242" s="117" t="n">
        <f aca="false">B242+C242</f>
        <v>3017157.21662952</v>
      </c>
      <c r="E242" s="106" t="n">
        <f aca="false">IF(Z242=0,0,IF(AND(Z242=1,$H$3=1),D242*U242,IF($H$3=2,D242,"N/A")))</f>
        <v>0</v>
      </c>
      <c r="F242" s="106" t="n">
        <f aca="false">E242*Y242</f>
        <v>0</v>
      </c>
      <c r="G242" s="118" t="n">
        <f aca="false">VLOOKUP($A242,Table,MATCH(G$4,Curves,0))</f>
        <v>3</v>
      </c>
      <c r="H242" s="119" t="n">
        <f aca="false">G242+$H$7</f>
        <v>3</v>
      </c>
      <c r="I242" s="118" t="n">
        <f aca="false">'Inputs-Summary'!$B$16</f>
        <v>1.85</v>
      </c>
      <c r="J242" s="118" t="n">
        <f aca="false">VLOOKUP($A242,Table,MATCH(J$4,Curves,0))</f>
        <v>5</v>
      </c>
      <c r="K242" s="119" t="n">
        <f aca="false">J242+$K$7</f>
        <v>5</v>
      </c>
      <c r="L242" s="120" t="n">
        <f aca="false">K242</f>
        <v>5</v>
      </c>
      <c r="M242" s="118" t="n">
        <f aca="false">VLOOKUP($A242,Table,MATCH(M$4,Curves,0))</f>
        <v>5</v>
      </c>
      <c r="N242" s="119" t="n">
        <f aca="false">M242+$N$7</f>
        <v>5</v>
      </c>
      <c r="O242" s="120" t="n">
        <f aca="false">N242</f>
        <v>5</v>
      </c>
      <c r="P242" s="109"/>
      <c r="Q242" s="120" t="n">
        <f aca="false">IF($F$3=1,M242+J242+G242,J242+G242)</f>
        <v>8</v>
      </c>
      <c r="R242" s="120" t="n">
        <f aca="false">IF($F$3=1,N242+K242+H242,K242+H242)</f>
        <v>8</v>
      </c>
      <c r="S242" s="120" t="n">
        <f aca="false">IF($F$3=1,O242+L242+I242,L242+I242)</f>
        <v>6.85</v>
      </c>
      <c r="T242" s="121"/>
      <c r="U242" s="67" t="n">
        <f aca="false">A243-A242</f>
        <v>31</v>
      </c>
      <c r="V242" s="122" t="n">
        <f aca="false">CHOOSE(F$3,A243+24,A242)</f>
        <v>44317</v>
      </c>
      <c r="W242" s="67" t="n">
        <f aca="false">V242-C$3</f>
        <v>-1609</v>
      </c>
      <c r="X242" s="118" t="n">
        <f aca="false">VLOOKUP($A242,Table,MATCH(X$4,Curves,0))</f>
        <v>2</v>
      </c>
      <c r="Y242" s="123" t="n">
        <f aca="false">1/(1+CHOOSE(F$3,(X243+($K$3/10000))/2,(X242+($K$3/10000))/2))^(2*W242/365.25)</f>
        <v>448.947779258829</v>
      </c>
      <c r="Z242" s="67" t="n">
        <f aca="false">IF(AND(mthbeg&lt;=A242,mthend&gt;=A242),1,0)</f>
        <v>0</v>
      </c>
      <c r="AA242" s="67" t="n">
        <f aca="false">U242*Z242</f>
        <v>0</v>
      </c>
      <c r="AC242" s="110" t="n">
        <f aca="false">F242*(H242-I242)</f>
        <v>0</v>
      </c>
      <c r="AD242" s="49"/>
      <c r="AE242" s="124"/>
    </row>
    <row r="243" customFormat="false" ht="12" hidden="false" customHeight="true" outlineLevel="0" collapsed="false">
      <c r="A243" s="115" t="n">
        <f aca="false">EDATE(A242,1)</f>
        <v>44348</v>
      </c>
      <c r="B243" s="116" t="n">
        <f aca="false">'Inputs-Summary'!$B$7</f>
        <v>3017157.21662952</v>
      </c>
      <c r="C243" s="57"/>
      <c r="D243" s="117" t="n">
        <f aca="false">B243+C243</f>
        <v>3017157.21662952</v>
      </c>
      <c r="E243" s="106" t="n">
        <f aca="false">IF(Z243=0,0,IF(AND(Z243=1,$H$3=1),D243*U243,IF($H$3=2,D243,"N/A")))</f>
        <v>0</v>
      </c>
      <c r="F243" s="106" t="n">
        <f aca="false">E243*Y243</f>
        <v>0</v>
      </c>
      <c r="G243" s="118" t="n">
        <f aca="false">VLOOKUP($A243,Table,MATCH(G$4,Curves,0))</f>
        <v>3</v>
      </c>
      <c r="H243" s="119" t="n">
        <f aca="false">G243+$H$7</f>
        <v>3</v>
      </c>
      <c r="I243" s="118" t="n">
        <f aca="false">'Inputs-Summary'!$B$16</f>
        <v>1.85</v>
      </c>
      <c r="J243" s="118" t="n">
        <f aca="false">VLOOKUP($A243,Table,MATCH(J$4,Curves,0))</f>
        <v>5</v>
      </c>
      <c r="K243" s="119" t="n">
        <f aca="false">J243+$K$7</f>
        <v>5</v>
      </c>
      <c r="L243" s="120" t="n">
        <f aca="false">K243</f>
        <v>5</v>
      </c>
      <c r="M243" s="118" t="n">
        <f aca="false">VLOOKUP($A243,Table,MATCH(M$4,Curves,0))</f>
        <v>5</v>
      </c>
      <c r="N243" s="119" t="n">
        <f aca="false">M243+$N$7</f>
        <v>5</v>
      </c>
      <c r="O243" s="120" t="n">
        <f aca="false">N243</f>
        <v>5</v>
      </c>
      <c r="P243" s="109"/>
      <c r="Q243" s="120" t="n">
        <f aca="false">IF($F$3=1,M243+J243+G243,J243+G243)</f>
        <v>8</v>
      </c>
      <c r="R243" s="120" t="n">
        <f aca="false">IF($F$3=1,N243+K243+H243,K243+H243)</f>
        <v>8</v>
      </c>
      <c r="S243" s="120" t="n">
        <f aca="false">IF($F$3=1,O243+L243+I243,L243+I243)</f>
        <v>6.85</v>
      </c>
      <c r="T243" s="121"/>
      <c r="U243" s="67" t="n">
        <f aca="false">A244-A243</f>
        <v>30</v>
      </c>
      <c r="V243" s="122" t="n">
        <f aca="false">CHOOSE(F$3,A244+24,A243)</f>
        <v>44348</v>
      </c>
      <c r="W243" s="67" t="n">
        <f aca="false">V243-C$3</f>
        <v>-1578</v>
      </c>
      <c r="X243" s="118" t="n">
        <f aca="false">VLOOKUP($A243,Table,MATCH(X$4,Curves,0))</f>
        <v>2</v>
      </c>
      <c r="Y243" s="123" t="n">
        <f aca="false">1/(1+CHOOSE(F$3,(X244+($K$3/10000))/2,(X243+($K$3/10000))/2))^(2*W243/365.25)</f>
        <v>399.114002284464</v>
      </c>
      <c r="Z243" s="67" t="n">
        <f aca="false">IF(AND(mthbeg&lt;=A243,mthend&gt;=A243),1,0)</f>
        <v>0</v>
      </c>
      <c r="AA243" s="67" t="n">
        <f aca="false">U243*Z243</f>
        <v>0</v>
      </c>
      <c r="AC243" s="110" t="n">
        <f aca="false">F243*(H243-I243)</f>
        <v>0</v>
      </c>
      <c r="AD243" s="49"/>
      <c r="AE243" s="124"/>
    </row>
    <row r="244" customFormat="false" ht="12" hidden="false" customHeight="true" outlineLevel="0" collapsed="false">
      <c r="A244" s="115" t="n">
        <f aca="false">EDATE(A243,1)</f>
        <v>44378</v>
      </c>
      <c r="B244" s="116" t="n">
        <f aca="false">'Inputs-Summary'!$B$7</f>
        <v>3017157.21662952</v>
      </c>
      <c r="C244" s="57"/>
      <c r="D244" s="117" t="n">
        <f aca="false">B244+C244</f>
        <v>3017157.21662952</v>
      </c>
      <c r="E244" s="106" t="n">
        <f aca="false">IF(Z244=0,0,IF(AND(Z244=1,$H$3=1),D244*U244,IF($H$3=2,D244,"N/A")))</f>
        <v>0</v>
      </c>
      <c r="F244" s="106" t="n">
        <f aca="false">E244*Y244</f>
        <v>0</v>
      </c>
      <c r="G244" s="118" t="n">
        <f aca="false">VLOOKUP($A244,Table,MATCH(G$4,Curves,0))</f>
        <v>3</v>
      </c>
      <c r="H244" s="119" t="n">
        <f aca="false">G244+$H$7</f>
        <v>3</v>
      </c>
      <c r="I244" s="118" t="n">
        <f aca="false">'Inputs-Summary'!$B$16</f>
        <v>1.85</v>
      </c>
      <c r="J244" s="118" t="n">
        <f aca="false">VLOOKUP($A244,Table,MATCH(J$4,Curves,0))</f>
        <v>5</v>
      </c>
      <c r="K244" s="119" t="n">
        <f aca="false">J244+$K$7</f>
        <v>5</v>
      </c>
      <c r="L244" s="120" t="n">
        <f aca="false">K244</f>
        <v>5</v>
      </c>
      <c r="M244" s="118" t="n">
        <f aca="false">VLOOKUP($A244,Table,MATCH(M$4,Curves,0))</f>
        <v>5</v>
      </c>
      <c r="N244" s="119" t="n">
        <f aca="false">M244+$N$7</f>
        <v>5</v>
      </c>
      <c r="O244" s="120" t="n">
        <f aca="false">N244</f>
        <v>5</v>
      </c>
      <c r="P244" s="109"/>
      <c r="Q244" s="120" t="n">
        <f aca="false">IF($F$3=1,M244+J244+G244,J244+G244)</f>
        <v>8</v>
      </c>
      <c r="R244" s="120" t="n">
        <f aca="false">IF($F$3=1,N244+K244+H244,K244+H244)</f>
        <v>8</v>
      </c>
      <c r="S244" s="120" t="n">
        <f aca="false">IF($F$3=1,O244+L244+I244,L244+I244)</f>
        <v>6.85</v>
      </c>
      <c r="T244" s="121"/>
      <c r="U244" s="67" t="n">
        <f aca="false">A245-A244</f>
        <v>31</v>
      </c>
      <c r="V244" s="122" t="n">
        <f aca="false">CHOOSE(F$3,A245+24,A244)</f>
        <v>44378</v>
      </c>
      <c r="W244" s="67" t="n">
        <f aca="false">V244-C$3</f>
        <v>-1548</v>
      </c>
      <c r="X244" s="118" t="n">
        <f aca="false">VLOOKUP($A244,Table,MATCH(X$4,Curves,0))</f>
        <v>2</v>
      </c>
      <c r="Y244" s="123" t="n">
        <f aca="false">1/(1+CHOOSE(F$3,(X245+($K$3/10000))/2,(X244+($K$3/10000))/2))^(2*W244/365.25)</f>
        <v>356.161073742107</v>
      </c>
      <c r="Z244" s="67" t="n">
        <f aca="false">IF(AND(mthbeg&lt;=A244,mthend&gt;=A244),1,0)</f>
        <v>0</v>
      </c>
      <c r="AA244" s="67" t="n">
        <f aca="false">U244*Z244</f>
        <v>0</v>
      </c>
      <c r="AC244" s="110" t="n">
        <f aca="false">F244*(H244-I244)</f>
        <v>0</v>
      </c>
      <c r="AD244" s="49"/>
      <c r="AE244" s="124"/>
    </row>
    <row r="245" customFormat="false" ht="12" hidden="false" customHeight="true" outlineLevel="0" collapsed="false">
      <c r="A245" s="115" t="n">
        <f aca="false">EDATE(A244,1)</f>
        <v>44409</v>
      </c>
      <c r="B245" s="116" t="n">
        <f aca="false">'Inputs-Summary'!$B$7</f>
        <v>3017157.21662952</v>
      </c>
      <c r="C245" s="57"/>
      <c r="D245" s="117" t="n">
        <f aca="false">B245+C245</f>
        <v>3017157.21662952</v>
      </c>
      <c r="E245" s="106" t="n">
        <f aca="false">IF(Z245=0,0,IF(AND(Z245=1,$H$3=1),D245*U245,IF($H$3=2,D245,"N/A")))</f>
        <v>0</v>
      </c>
      <c r="F245" s="106" t="n">
        <f aca="false">E245*Y245</f>
        <v>0</v>
      </c>
      <c r="G245" s="118" t="n">
        <f aca="false">VLOOKUP($A245,Table,MATCH(G$4,Curves,0))</f>
        <v>3</v>
      </c>
      <c r="H245" s="119" t="n">
        <f aca="false">G245+$H$7</f>
        <v>3</v>
      </c>
      <c r="I245" s="118" t="n">
        <f aca="false">'Inputs-Summary'!$B$16</f>
        <v>1.85</v>
      </c>
      <c r="J245" s="118" t="n">
        <f aca="false">VLOOKUP($A245,Table,MATCH(J$4,Curves,0))</f>
        <v>5</v>
      </c>
      <c r="K245" s="119" t="n">
        <f aca="false">J245+$K$7</f>
        <v>5</v>
      </c>
      <c r="L245" s="120" t="n">
        <f aca="false">K245</f>
        <v>5</v>
      </c>
      <c r="M245" s="118" t="n">
        <f aca="false">VLOOKUP($A245,Table,MATCH(M$4,Curves,0))</f>
        <v>5</v>
      </c>
      <c r="N245" s="119" t="n">
        <f aca="false">M245+$N$7</f>
        <v>5</v>
      </c>
      <c r="O245" s="120" t="n">
        <f aca="false">N245</f>
        <v>5</v>
      </c>
      <c r="P245" s="109"/>
      <c r="Q245" s="120" t="n">
        <f aca="false">IF($F$3=1,M245+J245+G245,J245+G245)</f>
        <v>8</v>
      </c>
      <c r="R245" s="120" t="n">
        <f aca="false">IF($F$3=1,N245+K245+H245,K245+H245)</f>
        <v>8</v>
      </c>
      <c r="S245" s="120" t="n">
        <f aca="false">IF($F$3=1,O245+L245+I245,L245+I245)</f>
        <v>6.85</v>
      </c>
      <c r="T245" s="121"/>
      <c r="U245" s="67" t="n">
        <f aca="false">A246-A245</f>
        <v>31</v>
      </c>
      <c r="V245" s="122" t="n">
        <f aca="false">CHOOSE(F$3,A246+24,A245)</f>
        <v>44409</v>
      </c>
      <c r="W245" s="67" t="n">
        <f aca="false">V245-C$3</f>
        <v>-1517</v>
      </c>
      <c r="X245" s="118" t="n">
        <f aca="false">VLOOKUP($A245,Table,MATCH(X$4,Curves,0))</f>
        <v>2</v>
      </c>
      <c r="Y245" s="123" t="n">
        <f aca="false">1/(1+CHOOSE(F$3,(X246+($K$3/10000))/2,(X245+($K$3/10000))/2))^(2*W245/365.25)</f>
        <v>316.626739603923</v>
      </c>
      <c r="Z245" s="67" t="n">
        <f aca="false">IF(AND(mthbeg&lt;=A245,mthend&gt;=A245),1,0)</f>
        <v>0</v>
      </c>
      <c r="AA245" s="67" t="n">
        <f aca="false">U245*Z245</f>
        <v>0</v>
      </c>
      <c r="AC245" s="110" t="n">
        <f aca="false">F245*(H245-I245)</f>
        <v>0</v>
      </c>
      <c r="AD245" s="49"/>
      <c r="AE245" s="124"/>
    </row>
    <row r="246" customFormat="false" ht="12" hidden="false" customHeight="true" outlineLevel="0" collapsed="false">
      <c r="A246" s="115" t="n">
        <f aca="false">EDATE(A245,1)</f>
        <v>44440</v>
      </c>
      <c r="B246" s="116" t="n">
        <f aca="false">'Inputs-Summary'!$B$7</f>
        <v>3017157.21662952</v>
      </c>
      <c r="C246" s="57"/>
      <c r="D246" s="117" t="n">
        <f aca="false">B246+C246</f>
        <v>3017157.21662952</v>
      </c>
      <c r="E246" s="106" t="n">
        <f aca="false">IF(Z246=0,0,IF(AND(Z246=1,$H$3=1),D246*U246,IF($H$3=2,D246,"N/A")))</f>
        <v>0</v>
      </c>
      <c r="F246" s="106" t="n">
        <f aca="false">E246*Y246</f>
        <v>0</v>
      </c>
      <c r="G246" s="118" t="n">
        <f aca="false">VLOOKUP($A246,Table,MATCH(G$4,Curves,0))</f>
        <v>3</v>
      </c>
      <c r="H246" s="119" t="n">
        <f aca="false">G246+$H$7</f>
        <v>3</v>
      </c>
      <c r="I246" s="118" t="n">
        <f aca="false">'Inputs-Summary'!$B$16</f>
        <v>1.85</v>
      </c>
      <c r="J246" s="118" t="n">
        <f aca="false">VLOOKUP($A246,Table,MATCH(J$4,Curves,0))</f>
        <v>5</v>
      </c>
      <c r="K246" s="119" t="n">
        <f aca="false">J246+$K$7</f>
        <v>5</v>
      </c>
      <c r="L246" s="120" t="n">
        <f aca="false">K246</f>
        <v>5</v>
      </c>
      <c r="M246" s="118" t="n">
        <f aca="false">VLOOKUP($A246,Table,MATCH(M$4,Curves,0))</f>
        <v>5</v>
      </c>
      <c r="N246" s="119" t="n">
        <f aca="false">M246+$N$7</f>
        <v>5</v>
      </c>
      <c r="O246" s="120" t="n">
        <f aca="false">N246</f>
        <v>5</v>
      </c>
      <c r="P246" s="109"/>
      <c r="Q246" s="120" t="n">
        <f aca="false">IF($F$3=1,M246+J246+G246,J246+G246)</f>
        <v>8</v>
      </c>
      <c r="R246" s="120" t="n">
        <f aca="false">IF($F$3=1,N246+K246+H246,K246+H246)</f>
        <v>8</v>
      </c>
      <c r="S246" s="120" t="n">
        <f aca="false">IF($F$3=1,O246+L246+I246,L246+I246)</f>
        <v>6.85</v>
      </c>
      <c r="T246" s="121"/>
      <c r="U246" s="67" t="n">
        <f aca="false">A247-A246</f>
        <v>30</v>
      </c>
      <c r="V246" s="122" t="n">
        <f aca="false">CHOOSE(F$3,A247+24,A246)</f>
        <v>44440</v>
      </c>
      <c r="W246" s="67" t="n">
        <f aca="false">V246-C$3</f>
        <v>-1486</v>
      </c>
      <c r="X246" s="118" t="n">
        <f aca="false">VLOOKUP($A246,Table,MATCH(X$4,Curves,0))</f>
        <v>2</v>
      </c>
      <c r="Y246" s="123" t="n">
        <f aca="false">1/(1+CHOOSE(F$3,(X247+($K$3/10000))/2,(X246+($K$3/10000))/2))^(2*W246/365.25)</f>
        <v>281.48076705542</v>
      </c>
      <c r="Z246" s="67" t="n">
        <f aca="false">IF(AND(mthbeg&lt;=A246,mthend&gt;=A246),1,0)</f>
        <v>0</v>
      </c>
      <c r="AA246" s="67" t="n">
        <f aca="false">U246*Z246</f>
        <v>0</v>
      </c>
      <c r="AC246" s="110" t="n">
        <f aca="false">F246*(H246-I246)</f>
        <v>0</v>
      </c>
      <c r="AD246" s="49"/>
      <c r="AE246" s="124"/>
    </row>
    <row r="247" customFormat="false" ht="12" hidden="false" customHeight="true" outlineLevel="0" collapsed="false">
      <c r="A247" s="115" t="n">
        <f aca="false">EDATE(A246,1)</f>
        <v>44470</v>
      </c>
      <c r="B247" s="116" t="n">
        <f aca="false">'Inputs-Summary'!$B$7</f>
        <v>3017157.21662952</v>
      </c>
      <c r="C247" s="57"/>
      <c r="D247" s="117" t="n">
        <f aca="false">B247+C247</f>
        <v>3017157.21662952</v>
      </c>
      <c r="E247" s="106" t="n">
        <f aca="false">IF(Z247=0,0,IF(AND(Z247=1,$H$3=1),D247*U247,IF($H$3=2,D247,"N/A")))</f>
        <v>0</v>
      </c>
      <c r="F247" s="106" t="n">
        <f aca="false">E247*Y247</f>
        <v>0</v>
      </c>
      <c r="G247" s="118" t="n">
        <f aca="false">VLOOKUP($A247,Table,MATCH(G$4,Curves,0))</f>
        <v>3</v>
      </c>
      <c r="H247" s="119" t="n">
        <f aca="false">G247+$H$7</f>
        <v>3</v>
      </c>
      <c r="I247" s="118" t="n">
        <f aca="false">'Inputs-Summary'!$B$16</f>
        <v>1.85</v>
      </c>
      <c r="J247" s="118" t="n">
        <f aca="false">VLOOKUP($A247,Table,MATCH(J$4,Curves,0))</f>
        <v>5</v>
      </c>
      <c r="K247" s="119" t="n">
        <f aca="false">J247+$K$7</f>
        <v>5</v>
      </c>
      <c r="L247" s="120" t="n">
        <f aca="false">K247</f>
        <v>5</v>
      </c>
      <c r="M247" s="118" t="n">
        <f aca="false">VLOOKUP($A247,Table,MATCH(M$4,Curves,0))</f>
        <v>5</v>
      </c>
      <c r="N247" s="119" t="n">
        <f aca="false">M247+$N$7</f>
        <v>5</v>
      </c>
      <c r="O247" s="120" t="n">
        <f aca="false">N247</f>
        <v>5</v>
      </c>
      <c r="P247" s="109"/>
      <c r="Q247" s="120" t="n">
        <f aca="false">IF($F$3=1,M247+J247+G247,J247+G247)</f>
        <v>8</v>
      </c>
      <c r="R247" s="120" t="n">
        <f aca="false">IF($F$3=1,N247+K247+H247,K247+H247)</f>
        <v>8</v>
      </c>
      <c r="S247" s="120" t="n">
        <f aca="false">IF($F$3=1,O247+L247+I247,L247+I247)</f>
        <v>6.85</v>
      </c>
      <c r="T247" s="121"/>
      <c r="U247" s="67" t="n">
        <f aca="false">A248-A247</f>
        <v>31</v>
      </c>
      <c r="V247" s="122" t="n">
        <f aca="false">CHOOSE(F$3,A248+24,A247)</f>
        <v>44470</v>
      </c>
      <c r="W247" s="67" t="n">
        <f aca="false">V247-C$3</f>
        <v>-1456</v>
      </c>
      <c r="X247" s="118" t="n">
        <f aca="false">VLOOKUP($A247,Table,MATCH(X$4,Curves,0))</f>
        <v>2</v>
      </c>
      <c r="Y247" s="123" t="n">
        <f aca="false">1/(1+CHOOSE(F$3,(X248+($K$3/10000))/2,(X247+($K$3/10000))/2))^(2*W247/365.25)</f>
        <v>251.187609701442</v>
      </c>
      <c r="Z247" s="67" t="n">
        <f aca="false">IF(AND(mthbeg&lt;=A247,mthend&gt;=A247),1,0)</f>
        <v>0</v>
      </c>
      <c r="AA247" s="67" t="n">
        <f aca="false">U247*Z247</f>
        <v>0</v>
      </c>
      <c r="AC247" s="110" t="n">
        <f aca="false">F247*(H247-I247)</f>
        <v>0</v>
      </c>
      <c r="AD247" s="49"/>
      <c r="AE247" s="124"/>
    </row>
    <row r="248" customFormat="false" ht="12" hidden="false" customHeight="true" outlineLevel="0" collapsed="false">
      <c r="A248" s="115" t="n">
        <f aca="false">EDATE(A247,1)</f>
        <v>44501</v>
      </c>
      <c r="B248" s="116" t="n">
        <f aca="false">'Inputs-Summary'!$B$7</f>
        <v>3017157.21662952</v>
      </c>
      <c r="C248" s="57"/>
      <c r="D248" s="117" t="n">
        <f aca="false">B248+C248</f>
        <v>3017157.21662952</v>
      </c>
      <c r="E248" s="106" t="n">
        <f aca="false">IF(Z248=0,0,IF(AND(Z248=1,$H$3=1),D248*U248,IF($H$3=2,D248,"N/A")))</f>
        <v>0</v>
      </c>
      <c r="F248" s="106" t="n">
        <f aca="false">E248*Y248</f>
        <v>0</v>
      </c>
      <c r="G248" s="118" t="n">
        <f aca="false">VLOOKUP($A248,Table,MATCH(G$4,Curves,0))</f>
        <v>3</v>
      </c>
      <c r="H248" s="119" t="n">
        <f aca="false">G248+$H$7</f>
        <v>3</v>
      </c>
      <c r="I248" s="118" t="n">
        <f aca="false">'Inputs-Summary'!$B$16</f>
        <v>1.85</v>
      </c>
      <c r="J248" s="118" t="n">
        <f aca="false">VLOOKUP($A248,Table,MATCH(J$4,Curves,0))</f>
        <v>5</v>
      </c>
      <c r="K248" s="119" t="n">
        <f aca="false">J248+$K$7</f>
        <v>5</v>
      </c>
      <c r="L248" s="120" t="n">
        <f aca="false">K248</f>
        <v>5</v>
      </c>
      <c r="M248" s="118" t="n">
        <f aca="false">VLOOKUP($A248,Table,MATCH(M$4,Curves,0))</f>
        <v>5</v>
      </c>
      <c r="N248" s="119" t="n">
        <f aca="false">M248+$N$7</f>
        <v>5</v>
      </c>
      <c r="O248" s="120" t="n">
        <f aca="false">N248</f>
        <v>5</v>
      </c>
      <c r="P248" s="109"/>
      <c r="Q248" s="120" t="n">
        <f aca="false">IF($F$3=1,M248+J248+G248,J248+G248)</f>
        <v>8</v>
      </c>
      <c r="R248" s="120" t="n">
        <f aca="false">IF($F$3=1,N248+K248+H248,K248+H248)</f>
        <v>8</v>
      </c>
      <c r="S248" s="120" t="n">
        <f aca="false">IF($F$3=1,O248+L248+I248,L248+I248)</f>
        <v>6.85</v>
      </c>
      <c r="T248" s="121"/>
      <c r="U248" s="67" t="n">
        <f aca="false">A249-A248</f>
        <v>30</v>
      </c>
      <c r="V248" s="122" t="n">
        <f aca="false">CHOOSE(F$3,A249+24,A248)</f>
        <v>44501</v>
      </c>
      <c r="W248" s="67" t="n">
        <f aca="false">V248-C$3</f>
        <v>-1425</v>
      </c>
      <c r="X248" s="118" t="n">
        <f aca="false">VLOOKUP($A248,Table,MATCH(X$4,Curves,0))</f>
        <v>2</v>
      </c>
      <c r="Y248" s="123" t="n">
        <f aca="false">1/(1+CHOOSE(F$3,(X249+($K$3/10000))/2,(X248+($K$3/10000))/2))^(2*W248/365.25)</f>
        <v>223.305464162709</v>
      </c>
      <c r="Z248" s="67" t="n">
        <f aca="false">IF(AND(mthbeg&lt;=A248,mthend&gt;=A248),1,0)</f>
        <v>0</v>
      </c>
      <c r="AA248" s="67" t="n">
        <f aca="false">U248*Z248</f>
        <v>0</v>
      </c>
      <c r="AC248" s="110" t="n">
        <f aca="false">F248*(H248-I248)</f>
        <v>0</v>
      </c>
      <c r="AD248" s="49"/>
      <c r="AE248" s="124"/>
    </row>
    <row r="249" customFormat="false" ht="12" hidden="false" customHeight="true" outlineLevel="0" collapsed="false">
      <c r="A249" s="115" t="n">
        <f aca="false">EDATE(A248,1)</f>
        <v>44531</v>
      </c>
      <c r="B249" s="116" t="n">
        <f aca="false">'Inputs-Summary'!$B$7</f>
        <v>3017157.21662952</v>
      </c>
      <c r="C249" s="57"/>
      <c r="D249" s="117" t="n">
        <f aca="false">B249+C249</f>
        <v>3017157.21662952</v>
      </c>
      <c r="E249" s="106" t="n">
        <f aca="false">IF(Z249=0,0,IF(AND(Z249=1,$H$3=1),D249*U249,IF($H$3=2,D249,"N/A")))</f>
        <v>0</v>
      </c>
      <c r="F249" s="106" t="n">
        <f aca="false">E249*Y249</f>
        <v>0</v>
      </c>
      <c r="G249" s="118" t="n">
        <f aca="false">VLOOKUP($A249,Table,MATCH(G$4,Curves,0))</f>
        <v>3</v>
      </c>
      <c r="H249" s="119" t="n">
        <f aca="false">G249+$H$7</f>
        <v>3</v>
      </c>
      <c r="I249" s="118" t="n">
        <f aca="false">'Inputs-Summary'!$B$16</f>
        <v>1.85</v>
      </c>
      <c r="J249" s="118" t="n">
        <f aca="false">VLOOKUP($A249,Table,MATCH(J$4,Curves,0))</f>
        <v>5</v>
      </c>
      <c r="K249" s="119" t="n">
        <f aca="false">J249+$K$7</f>
        <v>5</v>
      </c>
      <c r="L249" s="120" t="n">
        <f aca="false">K249</f>
        <v>5</v>
      </c>
      <c r="M249" s="118" t="n">
        <f aca="false">VLOOKUP($A249,Table,MATCH(M$4,Curves,0))</f>
        <v>5</v>
      </c>
      <c r="N249" s="119" t="n">
        <f aca="false">M249+$N$7</f>
        <v>5</v>
      </c>
      <c r="O249" s="120" t="n">
        <f aca="false">N249</f>
        <v>5</v>
      </c>
      <c r="P249" s="109"/>
      <c r="Q249" s="120" t="n">
        <f aca="false">IF($F$3=1,M249+J249+G249,J249+G249)</f>
        <v>8</v>
      </c>
      <c r="R249" s="120" t="n">
        <f aca="false">IF($F$3=1,N249+K249+H249,K249+H249)</f>
        <v>8</v>
      </c>
      <c r="S249" s="120" t="n">
        <f aca="false">IF($F$3=1,O249+L249+I249,L249+I249)</f>
        <v>6.85</v>
      </c>
      <c r="T249" s="121"/>
      <c r="U249" s="67" t="n">
        <f aca="false">A250-A249</f>
        <v>31</v>
      </c>
      <c r="V249" s="122" t="n">
        <f aca="false">CHOOSE(F$3,A250+24,A249)</f>
        <v>44531</v>
      </c>
      <c r="W249" s="67" t="n">
        <f aca="false">V249-C$3</f>
        <v>-1395</v>
      </c>
      <c r="X249" s="118" t="n">
        <f aca="false">VLOOKUP($A249,Table,MATCH(X$4,Curves,0))</f>
        <v>2</v>
      </c>
      <c r="Y249" s="123" t="n">
        <f aca="false">1/(1+CHOOSE(F$3,(X250+($K$3/10000))/2,(X249+($K$3/10000))/2))^(2*W249/365.25)</f>
        <v>199.273173663259</v>
      </c>
      <c r="Z249" s="67" t="n">
        <f aca="false">IF(AND(mthbeg&lt;=A249,mthend&gt;=A249),1,0)</f>
        <v>0</v>
      </c>
      <c r="AA249" s="67" t="n">
        <f aca="false">U249*Z249</f>
        <v>0</v>
      </c>
      <c r="AC249" s="110" t="n">
        <f aca="false">F249*(H249-I249)</f>
        <v>0</v>
      </c>
      <c r="AD249" s="49"/>
      <c r="AE249" s="124"/>
    </row>
    <row r="250" customFormat="false" ht="12" hidden="false" customHeight="true" outlineLevel="0" collapsed="false">
      <c r="A250" s="115" t="n">
        <f aca="false">EDATE(A249,1)</f>
        <v>44562</v>
      </c>
      <c r="B250" s="116" t="n">
        <f aca="false">'Inputs-Summary'!$B$7</f>
        <v>3017157.21662952</v>
      </c>
      <c r="C250" s="57"/>
      <c r="D250" s="117" t="n">
        <f aca="false">B250+C250</f>
        <v>3017157.21662952</v>
      </c>
      <c r="E250" s="106" t="n">
        <f aca="false">IF(Z250=0,0,IF(AND(Z250=1,$H$3=1),D250*U250,IF($H$3=2,D250,"N/A")))</f>
        <v>0</v>
      </c>
      <c r="F250" s="106" t="n">
        <f aca="false">E250*Y250</f>
        <v>0</v>
      </c>
      <c r="G250" s="118" t="n">
        <f aca="false">VLOOKUP($A250,Table,MATCH(G$4,Curves,0))</f>
        <v>3</v>
      </c>
      <c r="H250" s="119" t="n">
        <f aca="false">G250+$H$7</f>
        <v>3</v>
      </c>
      <c r="I250" s="118" t="n">
        <f aca="false">'Inputs-Summary'!$B$16</f>
        <v>1.85</v>
      </c>
      <c r="J250" s="118" t="n">
        <f aca="false">VLOOKUP($A250,Table,MATCH(J$4,Curves,0))</f>
        <v>5</v>
      </c>
      <c r="K250" s="119" t="n">
        <f aca="false">J250+$K$7</f>
        <v>5</v>
      </c>
      <c r="L250" s="120" t="n">
        <f aca="false">K250</f>
        <v>5</v>
      </c>
      <c r="M250" s="118" t="n">
        <f aca="false">VLOOKUP($A250,Table,MATCH(M$4,Curves,0))</f>
        <v>5</v>
      </c>
      <c r="N250" s="119" t="n">
        <f aca="false">M250+$N$7</f>
        <v>5</v>
      </c>
      <c r="O250" s="120" t="n">
        <f aca="false">N250</f>
        <v>5</v>
      </c>
      <c r="P250" s="109"/>
      <c r="Q250" s="120" t="n">
        <f aca="false">IF($F$3=1,M250+J250+G250,J250+G250)</f>
        <v>8</v>
      </c>
      <c r="R250" s="120" t="n">
        <f aca="false">IF($F$3=1,N250+K250+H250,K250+H250)</f>
        <v>8</v>
      </c>
      <c r="S250" s="120" t="n">
        <f aca="false">IF($F$3=1,O250+L250+I250,L250+I250)</f>
        <v>6.85</v>
      </c>
      <c r="T250" s="121"/>
      <c r="U250" s="67" t="n">
        <f aca="false">A251-A250</f>
        <v>31</v>
      </c>
      <c r="V250" s="122" t="n">
        <f aca="false">CHOOSE(F$3,A251+24,A250)</f>
        <v>44562</v>
      </c>
      <c r="W250" s="67" t="n">
        <f aca="false">V250-C$3</f>
        <v>-1364</v>
      </c>
      <c r="X250" s="118" t="n">
        <f aca="false">VLOOKUP($A250,Table,MATCH(X$4,Curves,0))</f>
        <v>2</v>
      </c>
      <c r="Y250" s="123" t="n">
        <f aca="false">1/(1+CHOOSE(F$3,(X251+($K$3/10000))/2,(X250+($K$3/10000))/2))^(2*W250/365.25)</f>
        <v>177.153596839194</v>
      </c>
      <c r="Z250" s="67" t="n">
        <f aca="false">IF(AND(mthbeg&lt;=A250,mthend&gt;=A250),1,0)</f>
        <v>0</v>
      </c>
      <c r="AA250" s="67" t="n">
        <f aca="false">U250*Z250</f>
        <v>0</v>
      </c>
      <c r="AC250" s="110" t="n">
        <f aca="false">F250*(H250-I250)</f>
        <v>0</v>
      </c>
      <c r="AD250" s="49"/>
      <c r="AE250" s="124"/>
    </row>
    <row r="251" customFormat="false" ht="12" hidden="false" customHeight="true" outlineLevel="0" collapsed="false">
      <c r="A251" s="115" t="n">
        <f aca="false">EDATE(A250,1)</f>
        <v>44593</v>
      </c>
      <c r="B251" s="116" t="n">
        <f aca="false">'Inputs-Summary'!$B$7</f>
        <v>3017157.21662952</v>
      </c>
      <c r="C251" s="57"/>
      <c r="D251" s="117" t="n">
        <f aca="false">B251+C251</f>
        <v>3017157.21662952</v>
      </c>
      <c r="E251" s="106" t="n">
        <f aca="false">IF(Z251=0,0,IF(AND(Z251=1,$H$3=1),D251*U251,IF($H$3=2,D251,"N/A")))</f>
        <v>0</v>
      </c>
      <c r="F251" s="106" t="n">
        <f aca="false">E251*Y251</f>
        <v>0</v>
      </c>
      <c r="G251" s="118" t="n">
        <f aca="false">VLOOKUP($A251,Table,MATCH(G$4,Curves,0))</f>
        <v>3</v>
      </c>
      <c r="H251" s="119" t="n">
        <f aca="false">G251+$H$7</f>
        <v>3</v>
      </c>
      <c r="I251" s="118" t="n">
        <f aca="false">'Inputs-Summary'!$B$16</f>
        <v>1.85</v>
      </c>
      <c r="J251" s="118" t="n">
        <f aca="false">VLOOKUP($A251,Table,MATCH(J$4,Curves,0))</f>
        <v>5</v>
      </c>
      <c r="K251" s="119" t="n">
        <f aca="false">J251+$K$7</f>
        <v>5</v>
      </c>
      <c r="L251" s="120" t="n">
        <f aca="false">K251</f>
        <v>5</v>
      </c>
      <c r="M251" s="118" t="n">
        <f aca="false">VLOOKUP($A251,Table,MATCH(M$4,Curves,0))</f>
        <v>5</v>
      </c>
      <c r="N251" s="119" t="n">
        <f aca="false">M251+$N$7</f>
        <v>5</v>
      </c>
      <c r="O251" s="120" t="n">
        <f aca="false">N251</f>
        <v>5</v>
      </c>
      <c r="P251" s="109"/>
      <c r="Q251" s="120" t="n">
        <f aca="false">IF($F$3=1,M251+J251+G251,J251+G251)</f>
        <v>8</v>
      </c>
      <c r="R251" s="120" t="n">
        <f aca="false">IF($F$3=1,N251+K251+H251,K251+H251)</f>
        <v>8</v>
      </c>
      <c r="S251" s="120" t="n">
        <f aca="false">IF($F$3=1,O251+L251+I251,L251+I251)</f>
        <v>6.85</v>
      </c>
      <c r="T251" s="121"/>
      <c r="U251" s="67" t="n">
        <f aca="false">A252-A251</f>
        <v>28</v>
      </c>
      <c r="V251" s="122" t="n">
        <f aca="false">CHOOSE(F$3,A252+24,A251)</f>
        <v>44593</v>
      </c>
      <c r="W251" s="67" t="n">
        <f aca="false">V251-C$3</f>
        <v>-1333</v>
      </c>
      <c r="X251" s="118" t="n">
        <f aca="false">VLOOKUP($A251,Table,MATCH(X$4,Curves,0))</f>
        <v>2</v>
      </c>
      <c r="Y251" s="123" t="n">
        <f aca="false">1/(1+CHOOSE(F$3,(X252+($K$3/10000))/2,(X251+($K$3/10000))/2))^(2*W251/365.25)</f>
        <v>157.489321297693</v>
      </c>
      <c r="Z251" s="67" t="n">
        <f aca="false">IF(AND(mthbeg&lt;=A251,mthend&gt;=A251),1,0)</f>
        <v>0</v>
      </c>
      <c r="AA251" s="67" t="n">
        <f aca="false">U251*Z251</f>
        <v>0</v>
      </c>
      <c r="AC251" s="110" t="n">
        <f aca="false">F251*(H251-I251)</f>
        <v>0</v>
      </c>
      <c r="AD251" s="49"/>
      <c r="AE251" s="124"/>
    </row>
    <row r="252" customFormat="false" ht="12" hidden="false" customHeight="true" outlineLevel="0" collapsed="false">
      <c r="A252" s="115" t="n">
        <f aca="false">EDATE(A251,1)</f>
        <v>44621</v>
      </c>
      <c r="B252" s="116" t="n">
        <f aca="false">'Inputs-Summary'!$B$7</f>
        <v>3017157.21662952</v>
      </c>
      <c r="C252" s="57"/>
      <c r="D252" s="117" t="n">
        <f aca="false">B252+C252</f>
        <v>3017157.21662952</v>
      </c>
      <c r="E252" s="106" t="n">
        <f aca="false">IF(Z252=0,0,IF(AND(Z252=1,$H$3=1),D252*U252,IF($H$3=2,D252,"N/A")))</f>
        <v>0</v>
      </c>
      <c r="F252" s="106" t="n">
        <f aca="false">E252*Y252</f>
        <v>0</v>
      </c>
      <c r="G252" s="118" t="n">
        <f aca="false">VLOOKUP($A252,Table,MATCH(G$4,Curves,0))</f>
        <v>3</v>
      </c>
      <c r="H252" s="119" t="n">
        <f aca="false">G252+$H$7</f>
        <v>3</v>
      </c>
      <c r="I252" s="118" t="n">
        <f aca="false">'Inputs-Summary'!$B$16</f>
        <v>1.85</v>
      </c>
      <c r="J252" s="118" t="n">
        <f aca="false">VLOOKUP($A252,Table,MATCH(J$4,Curves,0))</f>
        <v>5</v>
      </c>
      <c r="K252" s="119" t="n">
        <f aca="false">J252+$K$7</f>
        <v>5</v>
      </c>
      <c r="L252" s="120" t="n">
        <f aca="false">K252</f>
        <v>5</v>
      </c>
      <c r="M252" s="118" t="n">
        <f aca="false">VLOOKUP($A252,Table,MATCH(M$4,Curves,0))</f>
        <v>5</v>
      </c>
      <c r="N252" s="119" t="n">
        <f aca="false">M252+$N$7</f>
        <v>5</v>
      </c>
      <c r="O252" s="120" t="n">
        <f aca="false">N252</f>
        <v>5</v>
      </c>
      <c r="P252" s="109"/>
      <c r="Q252" s="120" t="n">
        <f aca="false">IF($F$3=1,M252+J252+G252,J252+G252)</f>
        <v>8</v>
      </c>
      <c r="R252" s="120" t="n">
        <f aca="false">IF($F$3=1,N252+K252+H252,K252+H252)</f>
        <v>8</v>
      </c>
      <c r="S252" s="120" t="n">
        <f aca="false">IF($F$3=1,O252+L252+I252,L252+I252)</f>
        <v>6.85</v>
      </c>
      <c r="T252" s="121"/>
      <c r="U252" s="67" t="n">
        <f aca="false">A253-A252</f>
        <v>31</v>
      </c>
      <c r="V252" s="122" t="n">
        <f aca="false">CHOOSE(F$3,A253+24,A252)</f>
        <v>44621</v>
      </c>
      <c r="W252" s="67" t="n">
        <f aca="false">V252-C$3</f>
        <v>-1305</v>
      </c>
      <c r="X252" s="118" t="n">
        <f aca="false">VLOOKUP($A252,Table,MATCH(X$4,Curves,0))</f>
        <v>2</v>
      </c>
      <c r="Y252" s="123" t="n">
        <f aca="false">1/(1+CHOOSE(F$3,(X253+($K$3/10000))/2,(X252+($K$3/10000))/2))^(2*W252/365.25)</f>
        <v>141.611101082856</v>
      </c>
      <c r="Z252" s="67" t="n">
        <f aca="false">IF(AND(mthbeg&lt;=A252,mthend&gt;=A252),1,0)</f>
        <v>0</v>
      </c>
      <c r="AA252" s="67" t="n">
        <f aca="false">U252*Z252</f>
        <v>0</v>
      </c>
      <c r="AC252" s="110" t="n">
        <f aca="false">F252*(H252-I252)</f>
        <v>0</v>
      </c>
      <c r="AD252" s="49"/>
      <c r="AE252" s="124"/>
    </row>
    <row r="253" customFormat="false" ht="12" hidden="false" customHeight="true" outlineLevel="0" collapsed="false">
      <c r="A253" s="115" t="n">
        <f aca="false">EDATE(A252,1)</f>
        <v>44652</v>
      </c>
      <c r="B253" s="116" t="n">
        <f aca="false">'Inputs-Summary'!$B$7</f>
        <v>3017157.21662952</v>
      </c>
      <c r="C253" s="57"/>
      <c r="D253" s="117" t="n">
        <f aca="false">B253+C253</f>
        <v>3017157.21662952</v>
      </c>
      <c r="E253" s="106" t="n">
        <f aca="false">IF(Z253=0,0,IF(AND(Z253=1,$H$3=1),D253*U253,IF($H$3=2,D253,"N/A")))</f>
        <v>0</v>
      </c>
      <c r="F253" s="106" t="n">
        <f aca="false">E253*Y253</f>
        <v>0</v>
      </c>
      <c r="G253" s="118" t="n">
        <f aca="false">VLOOKUP($A253,Table,MATCH(G$4,Curves,0))</f>
        <v>3</v>
      </c>
      <c r="H253" s="119" t="n">
        <f aca="false">G253+$H$7</f>
        <v>3</v>
      </c>
      <c r="I253" s="118" t="n">
        <f aca="false">'Inputs-Summary'!$B$16</f>
        <v>1.85</v>
      </c>
      <c r="J253" s="118" t="n">
        <f aca="false">VLOOKUP($A253,Table,MATCH(J$4,Curves,0))</f>
        <v>5</v>
      </c>
      <c r="K253" s="119" t="n">
        <f aca="false">J253+$K$7</f>
        <v>5</v>
      </c>
      <c r="L253" s="120" t="n">
        <f aca="false">K253</f>
        <v>5</v>
      </c>
      <c r="M253" s="118" t="n">
        <f aca="false">VLOOKUP($A253,Table,MATCH(M$4,Curves,0))</f>
        <v>5</v>
      </c>
      <c r="N253" s="119" t="n">
        <f aca="false">M253+$N$7</f>
        <v>5</v>
      </c>
      <c r="O253" s="120" t="n">
        <f aca="false">N253</f>
        <v>5</v>
      </c>
      <c r="P253" s="109"/>
      <c r="Q253" s="120" t="n">
        <f aca="false">IF($F$3=1,M253+J253+G253,J253+G253)</f>
        <v>8</v>
      </c>
      <c r="R253" s="120" t="n">
        <f aca="false">IF($F$3=1,N253+K253+H253,K253+H253)</f>
        <v>8</v>
      </c>
      <c r="S253" s="120" t="n">
        <f aca="false">IF($F$3=1,O253+L253+I253,L253+I253)</f>
        <v>6.85</v>
      </c>
      <c r="T253" s="121"/>
      <c r="U253" s="67" t="n">
        <f aca="false">A254-A253</f>
        <v>30</v>
      </c>
      <c r="V253" s="122" t="n">
        <f aca="false">CHOOSE(F$3,A254+24,A253)</f>
        <v>44652</v>
      </c>
      <c r="W253" s="67" t="n">
        <f aca="false">V253-C$3</f>
        <v>-1274</v>
      </c>
      <c r="X253" s="118" t="n">
        <f aca="false">VLOOKUP($A253,Table,MATCH(X$4,Curves,0))</f>
        <v>2</v>
      </c>
      <c r="Y253" s="123" t="n">
        <f aca="false">1/(1+CHOOSE(F$3,(X254+($K$3/10000))/2,(X253+($K$3/10000))/2))^(2*W253/365.25)</f>
        <v>125.892087971559</v>
      </c>
      <c r="Z253" s="67" t="n">
        <f aca="false">IF(AND(mthbeg&lt;=A253,mthend&gt;=A253),1,0)</f>
        <v>0</v>
      </c>
      <c r="AA253" s="67" t="n">
        <f aca="false">U253*Z253</f>
        <v>0</v>
      </c>
      <c r="AC253" s="110" t="n">
        <f aca="false">F253*(H253-I253)</f>
        <v>0</v>
      </c>
      <c r="AD253" s="49"/>
      <c r="AE253" s="124"/>
    </row>
    <row r="254" customFormat="false" ht="12" hidden="false" customHeight="true" outlineLevel="0" collapsed="false">
      <c r="A254" s="115" t="n">
        <f aca="false">EDATE(A253,1)</f>
        <v>44682</v>
      </c>
      <c r="B254" s="116" t="n">
        <f aca="false">'Inputs-Summary'!$B$7</f>
        <v>3017157.21662952</v>
      </c>
      <c r="C254" s="57"/>
      <c r="D254" s="117" t="n">
        <f aca="false">B254+C254</f>
        <v>3017157.21662952</v>
      </c>
      <c r="E254" s="106" t="n">
        <f aca="false">IF(Z254=0,0,IF(AND(Z254=1,$H$3=1),D254*U254,IF($H$3=2,D254,"N/A")))</f>
        <v>0</v>
      </c>
      <c r="F254" s="106" t="n">
        <f aca="false">E254*Y254</f>
        <v>0</v>
      </c>
      <c r="G254" s="118" t="n">
        <f aca="false">VLOOKUP($A254,Table,MATCH(G$4,Curves,0))</f>
        <v>3</v>
      </c>
      <c r="H254" s="119" t="n">
        <f aca="false">G254+$H$7</f>
        <v>3</v>
      </c>
      <c r="I254" s="118" t="n">
        <f aca="false">'Inputs-Summary'!$B$16</f>
        <v>1.85</v>
      </c>
      <c r="J254" s="118" t="n">
        <f aca="false">VLOOKUP($A254,Table,MATCH(J$4,Curves,0))</f>
        <v>5</v>
      </c>
      <c r="K254" s="119" t="n">
        <f aca="false">J254+$K$7</f>
        <v>5</v>
      </c>
      <c r="L254" s="120" t="n">
        <f aca="false">K254</f>
        <v>5</v>
      </c>
      <c r="M254" s="118" t="n">
        <f aca="false">VLOOKUP($A254,Table,MATCH(M$4,Curves,0))</f>
        <v>5</v>
      </c>
      <c r="N254" s="119" t="n">
        <f aca="false">M254+$N$7</f>
        <v>5</v>
      </c>
      <c r="O254" s="120" t="n">
        <f aca="false">N254</f>
        <v>5</v>
      </c>
      <c r="P254" s="109"/>
      <c r="Q254" s="120" t="n">
        <f aca="false">IF($F$3=1,M254+J254+G254,J254+G254)</f>
        <v>8</v>
      </c>
      <c r="R254" s="120" t="n">
        <f aca="false">IF($F$3=1,N254+K254+H254,K254+H254)</f>
        <v>8</v>
      </c>
      <c r="S254" s="120" t="n">
        <f aca="false">IF($F$3=1,O254+L254+I254,L254+I254)</f>
        <v>6.85</v>
      </c>
      <c r="T254" s="121"/>
      <c r="U254" s="67" t="n">
        <f aca="false">A255-A254</f>
        <v>31</v>
      </c>
      <c r="V254" s="122" t="n">
        <f aca="false">CHOOSE(F$3,A255+24,A254)</f>
        <v>44682</v>
      </c>
      <c r="W254" s="67" t="n">
        <f aca="false">V254-C$3</f>
        <v>-1244</v>
      </c>
      <c r="X254" s="118" t="n">
        <f aca="false">VLOOKUP($A254,Table,MATCH(X$4,Curves,0))</f>
        <v>2</v>
      </c>
      <c r="Y254" s="123" t="n">
        <f aca="false">1/(1+CHOOSE(F$3,(X255+($K$3/10000))/2,(X254+($K$3/10000))/2))^(2*W254/365.25)</f>
        <v>112.343493264936</v>
      </c>
      <c r="Z254" s="67" t="n">
        <f aca="false">IF(AND(mthbeg&lt;=A254,mthend&gt;=A254),1,0)</f>
        <v>0</v>
      </c>
      <c r="AA254" s="67" t="n">
        <f aca="false">U254*Z254</f>
        <v>0</v>
      </c>
      <c r="AC254" s="110" t="n">
        <f aca="false">F254*(H254-I254)</f>
        <v>0</v>
      </c>
      <c r="AD254" s="49"/>
      <c r="AE254" s="124"/>
    </row>
    <row r="255" customFormat="false" ht="12" hidden="false" customHeight="true" outlineLevel="0" collapsed="false">
      <c r="A255" s="115" t="n">
        <f aca="false">EDATE(A254,1)</f>
        <v>44713</v>
      </c>
      <c r="B255" s="116" t="n">
        <f aca="false">'Inputs-Summary'!$B$7</f>
        <v>3017157.21662952</v>
      </c>
      <c r="C255" s="57"/>
      <c r="D255" s="117" t="n">
        <f aca="false">B255+C255</f>
        <v>3017157.21662952</v>
      </c>
      <c r="E255" s="106" t="n">
        <f aca="false">IF(Z255=0,0,IF(AND(Z255=1,$H$3=1),D255*U255,IF($H$3=2,D255,"N/A")))</f>
        <v>0</v>
      </c>
      <c r="F255" s="106" t="n">
        <f aca="false">E255*Y255</f>
        <v>0</v>
      </c>
      <c r="G255" s="118" t="n">
        <f aca="false">VLOOKUP($A255,Table,MATCH(G$4,Curves,0))</f>
        <v>3</v>
      </c>
      <c r="H255" s="119" t="n">
        <f aca="false">G255+$H$7</f>
        <v>3</v>
      </c>
      <c r="I255" s="118" t="n">
        <f aca="false">'Inputs-Summary'!$B$16</f>
        <v>1.85</v>
      </c>
      <c r="J255" s="118" t="n">
        <f aca="false">VLOOKUP($A255,Table,MATCH(J$4,Curves,0))</f>
        <v>5</v>
      </c>
      <c r="K255" s="119" t="n">
        <f aca="false">J255+$K$7</f>
        <v>5</v>
      </c>
      <c r="L255" s="120" t="n">
        <f aca="false">K255</f>
        <v>5</v>
      </c>
      <c r="M255" s="118" t="n">
        <f aca="false">VLOOKUP($A255,Table,MATCH(M$4,Curves,0))</f>
        <v>5</v>
      </c>
      <c r="N255" s="119" t="n">
        <f aca="false">M255+$N$7</f>
        <v>5</v>
      </c>
      <c r="O255" s="120" t="n">
        <f aca="false">N255</f>
        <v>5</v>
      </c>
      <c r="P255" s="109"/>
      <c r="Q255" s="120" t="n">
        <f aca="false">IF($F$3=1,M255+J255+G255,J255+G255)</f>
        <v>8</v>
      </c>
      <c r="R255" s="120" t="n">
        <f aca="false">IF($F$3=1,N255+K255+H255,K255+H255)</f>
        <v>8</v>
      </c>
      <c r="S255" s="120" t="n">
        <f aca="false">IF($F$3=1,O255+L255+I255,L255+I255)</f>
        <v>6.85</v>
      </c>
      <c r="T255" s="121"/>
      <c r="U255" s="67" t="n">
        <f aca="false">A256-A255</f>
        <v>30</v>
      </c>
      <c r="V255" s="122" t="n">
        <f aca="false">CHOOSE(F$3,A256+24,A255)</f>
        <v>44713</v>
      </c>
      <c r="W255" s="67" t="n">
        <f aca="false">V255-C$3</f>
        <v>-1213</v>
      </c>
      <c r="X255" s="118" t="n">
        <f aca="false">VLOOKUP($A255,Table,MATCH(X$4,Curves,0))</f>
        <v>2</v>
      </c>
      <c r="Y255" s="123" t="n">
        <f aca="false">1/(1+CHOOSE(F$3,(X256+($K$3/10000))/2,(X255+($K$3/10000))/2))^(2*W255/365.25)</f>
        <v>99.8732220072666</v>
      </c>
      <c r="Z255" s="67" t="n">
        <f aca="false">IF(AND(mthbeg&lt;=A255,mthend&gt;=A255),1,0)</f>
        <v>0</v>
      </c>
      <c r="AA255" s="67" t="n">
        <f aca="false">U255*Z255</f>
        <v>0</v>
      </c>
      <c r="AC255" s="110" t="n">
        <f aca="false">F255*(H255-I255)</f>
        <v>0</v>
      </c>
      <c r="AD255" s="49"/>
      <c r="AE255" s="124"/>
    </row>
    <row r="256" customFormat="false" ht="12" hidden="false" customHeight="true" outlineLevel="0" collapsed="false">
      <c r="A256" s="115" t="n">
        <f aca="false">EDATE(A255,1)</f>
        <v>44743</v>
      </c>
      <c r="B256" s="116" t="n">
        <f aca="false">'Inputs-Summary'!$B$7</f>
        <v>3017157.21662952</v>
      </c>
      <c r="C256" s="57"/>
      <c r="D256" s="117" t="n">
        <f aca="false">B256+C256</f>
        <v>3017157.21662952</v>
      </c>
      <c r="E256" s="106" t="n">
        <f aca="false">IF(Z256=0,0,IF(AND(Z256=1,$H$3=1),D256*U256,IF($H$3=2,D256,"N/A")))</f>
        <v>0</v>
      </c>
      <c r="F256" s="106" t="n">
        <f aca="false">E256*Y256</f>
        <v>0</v>
      </c>
      <c r="G256" s="118" t="n">
        <f aca="false">VLOOKUP($A256,Table,MATCH(G$4,Curves,0))</f>
        <v>3</v>
      </c>
      <c r="H256" s="119" t="n">
        <f aca="false">G256+$H$7</f>
        <v>3</v>
      </c>
      <c r="I256" s="118" t="n">
        <f aca="false">'Inputs-Summary'!$B$16</f>
        <v>1.85</v>
      </c>
      <c r="J256" s="118" t="n">
        <f aca="false">VLOOKUP($A256,Table,MATCH(J$4,Curves,0))</f>
        <v>5</v>
      </c>
      <c r="K256" s="119" t="n">
        <f aca="false">J256+$K$7</f>
        <v>5</v>
      </c>
      <c r="L256" s="120" t="n">
        <f aca="false">K256</f>
        <v>5</v>
      </c>
      <c r="M256" s="118" t="n">
        <f aca="false">VLOOKUP($A256,Table,MATCH(M$4,Curves,0))</f>
        <v>5</v>
      </c>
      <c r="N256" s="119" t="n">
        <f aca="false">M256+$N$7</f>
        <v>5</v>
      </c>
      <c r="O256" s="120" t="n">
        <f aca="false">N256</f>
        <v>5</v>
      </c>
      <c r="P256" s="109"/>
      <c r="Q256" s="120" t="n">
        <f aca="false">IF($F$3=1,M256+J256+G256,J256+G256)</f>
        <v>8</v>
      </c>
      <c r="R256" s="120" t="n">
        <f aca="false">IF($F$3=1,N256+K256+H256,K256+H256)</f>
        <v>8</v>
      </c>
      <c r="S256" s="120" t="n">
        <f aca="false">IF($F$3=1,O256+L256+I256,L256+I256)</f>
        <v>6.85</v>
      </c>
      <c r="T256" s="121"/>
      <c r="U256" s="67" t="n">
        <f aca="false">A257-A256</f>
        <v>31</v>
      </c>
      <c r="V256" s="122" t="n">
        <f aca="false">CHOOSE(F$3,A257+24,A256)</f>
        <v>44743</v>
      </c>
      <c r="W256" s="67" t="n">
        <f aca="false">V256-C$3</f>
        <v>-1183</v>
      </c>
      <c r="X256" s="118" t="n">
        <f aca="false">VLOOKUP($A256,Table,MATCH(X$4,Curves,0))</f>
        <v>2</v>
      </c>
      <c r="Y256" s="123" t="n">
        <f aca="false">1/(1+CHOOSE(F$3,(X257+($K$3/10000))/2,(X256+($K$3/10000))/2))^(2*W256/365.25)</f>
        <v>89.1247958843577</v>
      </c>
      <c r="Z256" s="67" t="n">
        <f aca="false">IF(AND(mthbeg&lt;=A256,mthend&gt;=A256),1,0)</f>
        <v>0</v>
      </c>
      <c r="AA256" s="67" t="n">
        <f aca="false">U256*Z256</f>
        <v>0</v>
      </c>
      <c r="AC256" s="110" t="n">
        <f aca="false">F256*(H256-I256)</f>
        <v>0</v>
      </c>
      <c r="AD256" s="49"/>
      <c r="AE256" s="124"/>
    </row>
    <row r="257" customFormat="false" ht="12" hidden="false" customHeight="true" outlineLevel="0" collapsed="false">
      <c r="A257" s="115" t="n">
        <f aca="false">EDATE(A256,1)</f>
        <v>44774</v>
      </c>
      <c r="B257" s="116" t="n">
        <f aca="false">'Inputs-Summary'!$B$7</f>
        <v>3017157.21662952</v>
      </c>
      <c r="C257" s="57"/>
      <c r="D257" s="117" t="n">
        <f aca="false">B257+C257</f>
        <v>3017157.21662952</v>
      </c>
      <c r="E257" s="106" t="n">
        <f aca="false">IF(Z257=0,0,IF(AND(Z257=1,$H$3=1),D257*U257,IF($H$3=2,D257,"N/A")))</f>
        <v>0</v>
      </c>
      <c r="F257" s="106" t="n">
        <f aca="false">E257*Y257</f>
        <v>0</v>
      </c>
      <c r="G257" s="118" t="n">
        <f aca="false">VLOOKUP($A257,Table,MATCH(G$4,Curves,0))</f>
        <v>3</v>
      </c>
      <c r="H257" s="119" t="n">
        <f aca="false">G257+$H$7</f>
        <v>3</v>
      </c>
      <c r="I257" s="118" t="n">
        <f aca="false">'Inputs-Summary'!$B$16</f>
        <v>1.85</v>
      </c>
      <c r="J257" s="118" t="n">
        <f aca="false">VLOOKUP($A257,Table,MATCH(J$4,Curves,0))</f>
        <v>5</v>
      </c>
      <c r="K257" s="119" t="n">
        <f aca="false">J257+$K$7</f>
        <v>5</v>
      </c>
      <c r="L257" s="120" t="n">
        <f aca="false">K257</f>
        <v>5</v>
      </c>
      <c r="M257" s="118" t="n">
        <f aca="false">VLOOKUP($A257,Table,MATCH(M$4,Curves,0))</f>
        <v>5</v>
      </c>
      <c r="N257" s="119" t="n">
        <f aca="false">M257+$N$7</f>
        <v>5</v>
      </c>
      <c r="O257" s="120" t="n">
        <f aca="false">N257</f>
        <v>5</v>
      </c>
      <c r="P257" s="109"/>
      <c r="Q257" s="120" t="n">
        <f aca="false">IF($F$3=1,M257+J257+G257,J257+G257)</f>
        <v>8</v>
      </c>
      <c r="R257" s="120" t="n">
        <f aca="false">IF($F$3=1,N257+K257+H257,K257+H257)</f>
        <v>8</v>
      </c>
      <c r="S257" s="120" t="n">
        <f aca="false">IF($F$3=1,O257+L257+I257,L257+I257)</f>
        <v>6.85</v>
      </c>
      <c r="T257" s="121"/>
      <c r="U257" s="67" t="n">
        <f aca="false">A258-A257</f>
        <v>31</v>
      </c>
      <c r="V257" s="122" t="n">
        <f aca="false">CHOOSE(F$3,A258+24,A257)</f>
        <v>44774</v>
      </c>
      <c r="W257" s="67" t="n">
        <f aca="false">V257-C$3</f>
        <v>-1152</v>
      </c>
      <c r="X257" s="118" t="n">
        <f aca="false">VLOOKUP($A257,Table,MATCH(X$4,Curves,0))</f>
        <v>2</v>
      </c>
      <c r="Y257" s="123" t="n">
        <f aca="false">1/(1+CHOOSE(F$3,(X258+($K$3/10000))/2,(X257+($K$3/10000))/2))^(2*W257/365.25)</f>
        <v>79.2318296950177</v>
      </c>
      <c r="Z257" s="67" t="n">
        <f aca="false">IF(AND(mthbeg&lt;=A257,mthend&gt;=A257),1,0)</f>
        <v>0</v>
      </c>
      <c r="AA257" s="67" t="n">
        <f aca="false">U257*Z257</f>
        <v>0</v>
      </c>
      <c r="AC257" s="110" t="n">
        <f aca="false">F257*(H257-I257)</f>
        <v>0</v>
      </c>
      <c r="AD257" s="49"/>
      <c r="AE257" s="124"/>
    </row>
    <row r="258" customFormat="false" ht="12" hidden="false" customHeight="true" outlineLevel="0" collapsed="false">
      <c r="A258" s="115" t="n">
        <f aca="false">EDATE(A257,1)</f>
        <v>44805</v>
      </c>
      <c r="B258" s="116" t="n">
        <f aca="false">'Inputs-Summary'!$B$7</f>
        <v>3017157.21662952</v>
      </c>
      <c r="C258" s="57"/>
      <c r="D258" s="117" t="n">
        <f aca="false">B258+C258</f>
        <v>3017157.21662952</v>
      </c>
      <c r="E258" s="106" t="n">
        <f aca="false">IF(Z258=0,0,IF(AND(Z258=1,$H$3=1),D258*U258,IF($H$3=2,D258,"N/A")))</f>
        <v>0</v>
      </c>
      <c r="F258" s="106" t="n">
        <f aca="false">E258*Y258</f>
        <v>0</v>
      </c>
      <c r="G258" s="118" t="n">
        <f aca="false">VLOOKUP($A258,Table,MATCH(G$4,Curves,0))</f>
        <v>3</v>
      </c>
      <c r="H258" s="119" t="n">
        <f aca="false">G258+$H$7</f>
        <v>3</v>
      </c>
      <c r="I258" s="118" t="n">
        <f aca="false">'Inputs-Summary'!$B$16</f>
        <v>1.85</v>
      </c>
      <c r="J258" s="118" t="n">
        <f aca="false">VLOOKUP($A258,Table,MATCH(J$4,Curves,0))</f>
        <v>5</v>
      </c>
      <c r="K258" s="119" t="n">
        <f aca="false">J258+$K$7</f>
        <v>5</v>
      </c>
      <c r="L258" s="120" t="n">
        <f aca="false">K258</f>
        <v>5</v>
      </c>
      <c r="M258" s="118" t="n">
        <f aca="false">VLOOKUP($A258,Table,MATCH(M$4,Curves,0))</f>
        <v>5</v>
      </c>
      <c r="N258" s="119" t="n">
        <f aca="false">M258+$N$7</f>
        <v>5</v>
      </c>
      <c r="O258" s="120" t="n">
        <f aca="false">N258</f>
        <v>5</v>
      </c>
      <c r="P258" s="109"/>
      <c r="Q258" s="120" t="n">
        <f aca="false">IF($F$3=1,M258+J258+G258,J258+G258)</f>
        <v>8</v>
      </c>
      <c r="R258" s="120" t="n">
        <f aca="false">IF($F$3=1,N258+K258+H258,K258+H258)</f>
        <v>8</v>
      </c>
      <c r="S258" s="120" t="n">
        <f aca="false">IF($F$3=1,O258+L258+I258,L258+I258)</f>
        <v>6.85</v>
      </c>
      <c r="T258" s="121"/>
      <c r="U258" s="67" t="n">
        <f aca="false">A259-A258</f>
        <v>30</v>
      </c>
      <c r="V258" s="122" t="n">
        <f aca="false">CHOOSE(F$3,A259+24,A258)</f>
        <v>44805</v>
      </c>
      <c r="W258" s="67" t="n">
        <f aca="false">V258-C$3</f>
        <v>-1121</v>
      </c>
      <c r="X258" s="118" t="n">
        <f aca="false">VLOOKUP($A258,Table,MATCH(X$4,Curves,0))</f>
        <v>2</v>
      </c>
      <c r="Y258" s="123" t="n">
        <f aca="false">1/(1+CHOOSE(F$3,(X259+($K$3/10000))/2,(X258+($K$3/10000))/2))^(2*W258/365.25)</f>
        <v>70.4369953897654</v>
      </c>
      <c r="Z258" s="67" t="n">
        <f aca="false">IF(AND(mthbeg&lt;=A258,mthend&gt;=A258),1,0)</f>
        <v>0</v>
      </c>
      <c r="AA258" s="67" t="n">
        <f aca="false">U258*Z258</f>
        <v>0</v>
      </c>
      <c r="AC258" s="110" t="n">
        <f aca="false">F258*(H258-I258)</f>
        <v>0</v>
      </c>
      <c r="AD258" s="49"/>
      <c r="AE258" s="124"/>
    </row>
    <row r="259" customFormat="false" ht="12" hidden="false" customHeight="true" outlineLevel="0" collapsed="false">
      <c r="A259" s="115" t="n">
        <f aca="false">EDATE(A258,1)</f>
        <v>44835</v>
      </c>
      <c r="B259" s="116" t="n">
        <f aca="false">'Inputs-Summary'!$B$7</f>
        <v>3017157.21662952</v>
      </c>
      <c r="C259" s="57"/>
      <c r="D259" s="117" t="n">
        <f aca="false">B259+C259</f>
        <v>3017157.21662952</v>
      </c>
      <c r="E259" s="106" t="n">
        <f aca="false">IF(Z259=0,0,IF(AND(Z259=1,$H$3=1),D259*U259,IF($H$3=2,D259,"N/A")))</f>
        <v>0</v>
      </c>
      <c r="F259" s="106" t="n">
        <f aca="false">E259*Y259</f>
        <v>0</v>
      </c>
      <c r="G259" s="118" t="n">
        <f aca="false">VLOOKUP($A259,Table,MATCH(G$4,Curves,0))</f>
        <v>3</v>
      </c>
      <c r="H259" s="119" t="n">
        <f aca="false">G259+$H$7</f>
        <v>3</v>
      </c>
      <c r="I259" s="118" t="n">
        <f aca="false">'Inputs-Summary'!$B$16</f>
        <v>1.85</v>
      </c>
      <c r="J259" s="118" t="n">
        <f aca="false">VLOOKUP($A259,Table,MATCH(J$4,Curves,0))</f>
        <v>5</v>
      </c>
      <c r="K259" s="119" t="n">
        <f aca="false">J259+$K$7</f>
        <v>5</v>
      </c>
      <c r="L259" s="120" t="n">
        <f aca="false">K259</f>
        <v>5</v>
      </c>
      <c r="M259" s="118" t="n">
        <f aca="false">VLOOKUP($A259,Table,MATCH(M$4,Curves,0))</f>
        <v>5</v>
      </c>
      <c r="N259" s="119" t="n">
        <f aca="false">M259+$N$7</f>
        <v>5</v>
      </c>
      <c r="O259" s="120" t="n">
        <f aca="false">N259</f>
        <v>5</v>
      </c>
      <c r="P259" s="109"/>
      <c r="Q259" s="120" t="n">
        <f aca="false">IF($F$3=1,M259+J259+G259,J259+G259)</f>
        <v>8</v>
      </c>
      <c r="R259" s="120" t="n">
        <f aca="false">IF($F$3=1,N259+K259+H259,K259+H259)</f>
        <v>8</v>
      </c>
      <c r="S259" s="120" t="n">
        <f aca="false">IF($F$3=1,O259+L259+I259,L259+I259)</f>
        <v>6.85</v>
      </c>
      <c r="T259" s="121"/>
      <c r="U259" s="67" t="n">
        <f aca="false">A260-A259</f>
        <v>31</v>
      </c>
      <c r="V259" s="122" t="n">
        <f aca="false">CHOOSE(F$3,A260+24,A259)</f>
        <v>44835</v>
      </c>
      <c r="W259" s="67" t="n">
        <f aca="false">V259-C$3</f>
        <v>-1091</v>
      </c>
      <c r="X259" s="118" t="n">
        <f aca="false">VLOOKUP($A259,Table,MATCH(X$4,Curves,0))</f>
        <v>2</v>
      </c>
      <c r="Y259" s="123" t="n">
        <f aca="false">1/(1+CHOOSE(F$3,(X260+($K$3/10000))/2,(X259+($K$3/10000))/2))^(2*W259/365.25)</f>
        <v>62.8565165982483</v>
      </c>
      <c r="Z259" s="67" t="n">
        <f aca="false">IF(AND(mthbeg&lt;=A259,mthend&gt;=A259),1,0)</f>
        <v>0</v>
      </c>
      <c r="AA259" s="67" t="n">
        <f aca="false">U259*Z259</f>
        <v>0</v>
      </c>
      <c r="AC259" s="110" t="n">
        <f aca="false">F259*(H259-I259)</f>
        <v>0</v>
      </c>
      <c r="AD259" s="49"/>
      <c r="AE259" s="124"/>
    </row>
    <row r="260" customFormat="false" ht="12" hidden="false" customHeight="true" outlineLevel="0" collapsed="false">
      <c r="A260" s="115" t="n">
        <f aca="false">EDATE(A259,1)</f>
        <v>44866</v>
      </c>
      <c r="B260" s="116" t="n">
        <f aca="false">'Inputs-Summary'!$B$7</f>
        <v>3017157.21662952</v>
      </c>
      <c r="C260" s="57"/>
      <c r="D260" s="117" t="n">
        <f aca="false">B260+C260</f>
        <v>3017157.21662952</v>
      </c>
      <c r="E260" s="106" t="n">
        <f aca="false">IF(Z260=0,0,IF(AND(Z260=1,$H$3=1),D260*U260,IF($H$3=2,D260,"N/A")))</f>
        <v>0</v>
      </c>
      <c r="F260" s="106" t="n">
        <f aca="false">E260*Y260</f>
        <v>0</v>
      </c>
      <c r="G260" s="118" t="n">
        <f aca="false">VLOOKUP($A260,Table,MATCH(G$4,Curves,0))</f>
        <v>3</v>
      </c>
      <c r="H260" s="119" t="n">
        <f aca="false">G260+$H$7</f>
        <v>3</v>
      </c>
      <c r="I260" s="118" t="n">
        <f aca="false">'Inputs-Summary'!$B$16</f>
        <v>1.85</v>
      </c>
      <c r="J260" s="118" t="n">
        <f aca="false">VLOOKUP($A260,Table,MATCH(J$4,Curves,0))</f>
        <v>5</v>
      </c>
      <c r="K260" s="119" t="n">
        <f aca="false">J260+$K$7</f>
        <v>5</v>
      </c>
      <c r="L260" s="120" t="n">
        <f aca="false">K260</f>
        <v>5</v>
      </c>
      <c r="M260" s="118" t="n">
        <f aca="false">VLOOKUP($A260,Table,MATCH(M$4,Curves,0))</f>
        <v>5</v>
      </c>
      <c r="N260" s="119" t="n">
        <f aca="false">M260+$N$7</f>
        <v>5</v>
      </c>
      <c r="O260" s="120" t="n">
        <f aca="false">N260</f>
        <v>5</v>
      </c>
      <c r="P260" s="109"/>
      <c r="Q260" s="120" t="n">
        <f aca="false">IF($F$3=1,M260+J260+G260,J260+G260)</f>
        <v>8</v>
      </c>
      <c r="R260" s="120" t="n">
        <f aca="false">IF($F$3=1,N260+K260+H260,K260+H260)</f>
        <v>8</v>
      </c>
      <c r="S260" s="120" t="n">
        <f aca="false">IF($F$3=1,O260+L260+I260,L260+I260)</f>
        <v>6.85</v>
      </c>
      <c r="T260" s="121"/>
      <c r="U260" s="67" t="n">
        <f aca="false">A261-A260</f>
        <v>30</v>
      </c>
      <c r="V260" s="122" t="n">
        <f aca="false">CHOOSE(F$3,A261+24,A260)</f>
        <v>44866</v>
      </c>
      <c r="W260" s="67" t="n">
        <f aca="false">V260-C$3</f>
        <v>-1060</v>
      </c>
      <c r="X260" s="118" t="n">
        <f aca="false">VLOOKUP($A260,Table,MATCH(X$4,Curves,0))</f>
        <v>2</v>
      </c>
      <c r="Y260" s="123" t="n">
        <f aca="false">1/(1+CHOOSE(F$3,(X261+($K$3/10000))/2,(X260+($K$3/10000))/2))^(2*W260/365.25)</f>
        <v>55.8793629642247</v>
      </c>
      <c r="Z260" s="67" t="n">
        <f aca="false">IF(AND(mthbeg&lt;=A260,mthend&gt;=A260),1,0)</f>
        <v>0</v>
      </c>
      <c r="AA260" s="67" t="n">
        <f aca="false">U260*Z260</f>
        <v>0</v>
      </c>
      <c r="AC260" s="110" t="n">
        <f aca="false">F260*(H260-I260)</f>
        <v>0</v>
      </c>
      <c r="AD260" s="49"/>
      <c r="AE260" s="124"/>
    </row>
    <row r="261" customFormat="false" ht="12" hidden="false" customHeight="true" outlineLevel="0" collapsed="false">
      <c r="A261" s="115" t="n">
        <f aca="false">EDATE(A260,1)</f>
        <v>44896</v>
      </c>
      <c r="B261" s="116" t="n">
        <f aca="false">'Inputs-Summary'!$B$7</f>
        <v>3017157.21662952</v>
      </c>
      <c r="C261" s="57"/>
      <c r="D261" s="117" t="n">
        <f aca="false">B261+C261</f>
        <v>3017157.21662952</v>
      </c>
      <c r="E261" s="106" t="n">
        <f aca="false">IF(Z261=0,0,IF(AND(Z261=1,$H$3=1),D261*U261,IF($H$3=2,D261,"N/A")))</f>
        <v>0</v>
      </c>
      <c r="F261" s="106" t="n">
        <f aca="false">E261*Y261</f>
        <v>0</v>
      </c>
      <c r="G261" s="118" t="n">
        <f aca="false">VLOOKUP($A261,Table,MATCH(G$4,Curves,0))</f>
        <v>3</v>
      </c>
      <c r="H261" s="119" t="n">
        <f aca="false">G261+$H$7</f>
        <v>3</v>
      </c>
      <c r="I261" s="118" t="n">
        <f aca="false">'Inputs-Summary'!$B$16</f>
        <v>1.85</v>
      </c>
      <c r="J261" s="118" t="n">
        <f aca="false">VLOOKUP($A261,Table,MATCH(J$4,Curves,0))</f>
        <v>5</v>
      </c>
      <c r="K261" s="119" t="n">
        <f aca="false">J261+$K$7</f>
        <v>5</v>
      </c>
      <c r="L261" s="120" t="n">
        <f aca="false">K261</f>
        <v>5</v>
      </c>
      <c r="M261" s="118" t="n">
        <f aca="false">VLOOKUP($A261,Table,MATCH(M$4,Curves,0))</f>
        <v>5</v>
      </c>
      <c r="N261" s="119" t="n">
        <f aca="false">M261+$N$7</f>
        <v>5</v>
      </c>
      <c r="O261" s="120" t="n">
        <f aca="false">N261</f>
        <v>5</v>
      </c>
      <c r="P261" s="109"/>
      <c r="Q261" s="120" t="n">
        <f aca="false">IF($F$3=1,M261+J261+G261,J261+G261)</f>
        <v>8</v>
      </c>
      <c r="R261" s="120" t="n">
        <f aca="false">IF($F$3=1,N261+K261+H261,K261+H261)</f>
        <v>8</v>
      </c>
      <c r="S261" s="120" t="n">
        <f aca="false">IF($F$3=1,O261+L261+I261,L261+I261)</f>
        <v>6.85</v>
      </c>
      <c r="T261" s="121"/>
      <c r="U261" s="67" t="n">
        <f aca="false">A262-A261</f>
        <v>31</v>
      </c>
      <c r="V261" s="122" t="n">
        <f aca="false">CHOOSE(F$3,A262+24,A261)</f>
        <v>44896</v>
      </c>
      <c r="W261" s="67" t="n">
        <f aca="false">V261-C$3</f>
        <v>-1030</v>
      </c>
      <c r="X261" s="118" t="n">
        <f aca="false">VLOOKUP($A261,Table,MATCH(X$4,Curves,0))</f>
        <v>2</v>
      </c>
      <c r="Y261" s="123" t="n">
        <f aca="false">1/(1+CHOOSE(F$3,(X262+($K$3/10000))/2,(X261+($K$3/10000))/2))^(2*W261/365.25)</f>
        <v>49.8655867733206</v>
      </c>
      <c r="Z261" s="67" t="n">
        <f aca="false">IF(AND(mthbeg&lt;=A261,mthend&gt;=A261),1,0)</f>
        <v>0</v>
      </c>
      <c r="AA261" s="67" t="n">
        <f aca="false">U261*Z261</f>
        <v>0</v>
      </c>
      <c r="AC261" s="110" t="n">
        <f aca="false">F261*(H261-I261)</f>
        <v>0</v>
      </c>
      <c r="AD261" s="49"/>
      <c r="AE261" s="124"/>
    </row>
    <row r="262" customFormat="false" ht="12" hidden="false" customHeight="true" outlineLevel="0" collapsed="false">
      <c r="A262" s="115" t="n">
        <f aca="false">EDATE(A261,1)</f>
        <v>44927</v>
      </c>
      <c r="B262" s="116" t="n">
        <f aca="false">'Inputs-Summary'!$B$7</f>
        <v>3017157.21662952</v>
      </c>
      <c r="C262" s="57"/>
      <c r="D262" s="117" t="n">
        <f aca="false">B262+C262</f>
        <v>3017157.21662952</v>
      </c>
      <c r="E262" s="106" t="n">
        <f aca="false">IF(Z262=0,0,IF(AND(Z262=1,$H$3=1),D262*U262,IF($H$3=2,D262,"N/A")))</f>
        <v>0</v>
      </c>
      <c r="F262" s="106" t="n">
        <f aca="false">E262*Y262</f>
        <v>0</v>
      </c>
      <c r="G262" s="118" t="n">
        <f aca="false">VLOOKUP($A262,Table,MATCH(G$4,Curves,0))</f>
        <v>3</v>
      </c>
      <c r="H262" s="119" t="n">
        <f aca="false">G262+$H$7</f>
        <v>3</v>
      </c>
      <c r="I262" s="118" t="n">
        <f aca="false">'Inputs-Summary'!$B$16</f>
        <v>1.85</v>
      </c>
      <c r="J262" s="118" t="n">
        <f aca="false">VLOOKUP($A262,Table,MATCH(J$4,Curves,0))</f>
        <v>5</v>
      </c>
      <c r="K262" s="119" t="n">
        <f aca="false">J262+$K$7</f>
        <v>5</v>
      </c>
      <c r="L262" s="120" t="n">
        <f aca="false">K262</f>
        <v>5</v>
      </c>
      <c r="M262" s="118" t="n">
        <f aca="false">VLOOKUP($A262,Table,MATCH(M$4,Curves,0))</f>
        <v>5</v>
      </c>
      <c r="N262" s="119" t="n">
        <f aca="false">M262+$N$7</f>
        <v>5</v>
      </c>
      <c r="O262" s="120" t="n">
        <f aca="false">N262</f>
        <v>5</v>
      </c>
      <c r="P262" s="109"/>
      <c r="Q262" s="120" t="n">
        <f aca="false">IF($F$3=1,M262+J262+G262,J262+G262)</f>
        <v>8</v>
      </c>
      <c r="R262" s="120" t="n">
        <f aca="false">IF($F$3=1,N262+K262+H262,K262+H262)</f>
        <v>8</v>
      </c>
      <c r="S262" s="120" t="n">
        <f aca="false">IF($F$3=1,O262+L262+I262,L262+I262)</f>
        <v>6.85</v>
      </c>
      <c r="T262" s="121"/>
      <c r="U262" s="67" t="n">
        <f aca="false">A263-A262</f>
        <v>31</v>
      </c>
      <c r="V262" s="122" t="n">
        <f aca="false">CHOOSE(F$3,A263+24,A262)</f>
        <v>44927</v>
      </c>
      <c r="W262" s="67" t="n">
        <f aca="false">V262-C$3</f>
        <v>-999</v>
      </c>
      <c r="X262" s="118" t="n">
        <f aca="false">VLOOKUP($A262,Table,MATCH(X$4,Curves,0))</f>
        <v>2</v>
      </c>
      <c r="Y262" s="123" t="n">
        <f aca="false">1/(1+CHOOSE(F$3,(X263+($K$3/10000))/2,(X262+($K$3/10000))/2))^(2*W262/365.25)</f>
        <v>44.3304429442098</v>
      </c>
      <c r="Z262" s="67" t="n">
        <f aca="false">IF(AND(mthbeg&lt;=A262,mthend&gt;=A262),1,0)</f>
        <v>0</v>
      </c>
      <c r="AA262" s="67" t="n">
        <f aca="false">U262*Z262</f>
        <v>0</v>
      </c>
      <c r="AC262" s="110" t="n">
        <f aca="false">F262*(H262-I262)</f>
        <v>0</v>
      </c>
      <c r="AD262" s="49"/>
      <c r="AE262" s="124"/>
    </row>
    <row r="263" customFormat="false" ht="12" hidden="false" customHeight="true" outlineLevel="0" collapsed="false">
      <c r="A263" s="115" t="n">
        <f aca="false">EDATE(A262,1)</f>
        <v>44958</v>
      </c>
      <c r="B263" s="116" t="n">
        <f aca="false">'Inputs-Summary'!$B$7</f>
        <v>3017157.21662952</v>
      </c>
      <c r="C263" s="57"/>
      <c r="D263" s="117" t="n">
        <f aca="false">B263+C263</f>
        <v>3017157.21662952</v>
      </c>
      <c r="E263" s="106" t="n">
        <f aca="false">IF(Z263=0,0,IF(AND(Z263=1,$H$3=1),D263*U263,IF($H$3=2,D263,"N/A")))</f>
        <v>0</v>
      </c>
      <c r="F263" s="106" t="n">
        <f aca="false">E263*Y263</f>
        <v>0</v>
      </c>
      <c r="G263" s="118" t="n">
        <f aca="false">VLOOKUP($A263,Table,MATCH(G$4,Curves,0))</f>
        <v>3</v>
      </c>
      <c r="H263" s="119" t="n">
        <f aca="false">G263+$H$7</f>
        <v>3</v>
      </c>
      <c r="I263" s="118" t="n">
        <f aca="false">'Inputs-Summary'!$B$16</f>
        <v>1.85</v>
      </c>
      <c r="J263" s="118" t="n">
        <f aca="false">VLOOKUP($A263,Table,MATCH(J$4,Curves,0))</f>
        <v>5</v>
      </c>
      <c r="K263" s="119" t="n">
        <f aca="false">J263+$K$7</f>
        <v>5</v>
      </c>
      <c r="L263" s="120" t="n">
        <f aca="false">K263</f>
        <v>5</v>
      </c>
      <c r="M263" s="118" t="n">
        <f aca="false">VLOOKUP($A263,Table,MATCH(M$4,Curves,0))</f>
        <v>5</v>
      </c>
      <c r="N263" s="119" t="n">
        <f aca="false">M263+$N$7</f>
        <v>5</v>
      </c>
      <c r="O263" s="120" t="n">
        <f aca="false">N263</f>
        <v>5</v>
      </c>
      <c r="P263" s="109"/>
      <c r="Q263" s="120" t="n">
        <f aca="false">IF($F$3=1,M263+J263+G263,J263+G263)</f>
        <v>8</v>
      </c>
      <c r="R263" s="120" t="n">
        <f aca="false">IF($F$3=1,N263+K263+H263,K263+H263)</f>
        <v>8</v>
      </c>
      <c r="S263" s="120" t="n">
        <f aca="false">IF($F$3=1,O263+L263+I263,L263+I263)</f>
        <v>6.85</v>
      </c>
      <c r="T263" s="121"/>
      <c r="U263" s="67" t="n">
        <f aca="false">A264-A263</f>
        <v>28</v>
      </c>
      <c r="V263" s="122" t="n">
        <f aca="false">CHOOSE(F$3,A264+24,A263)</f>
        <v>44958</v>
      </c>
      <c r="W263" s="67" t="n">
        <f aca="false">V263-C$3</f>
        <v>-968</v>
      </c>
      <c r="X263" s="118" t="n">
        <f aca="false">VLOOKUP($A263,Table,MATCH(X$4,Curves,0))</f>
        <v>2</v>
      </c>
      <c r="Y263" s="123" t="n">
        <f aca="false">1/(1+CHOOSE(F$3,(X264+($K$3/10000))/2,(X263+($K$3/10000))/2))^(2*W263/365.25)</f>
        <v>39.4097071506089</v>
      </c>
      <c r="Z263" s="67" t="n">
        <f aca="false">IF(AND(mthbeg&lt;=A263,mthend&gt;=A263),1,0)</f>
        <v>0</v>
      </c>
      <c r="AA263" s="67" t="n">
        <f aca="false">U263*Z263</f>
        <v>0</v>
      </c>
      <c r="AC263" s="110" t="n">
        <f aca="false">F263*(H263-I263)</f>
        <v>0</v>
      </c>
      <c r="AD263" s="49"/>
      <c r="AE263" s="124"/>
    </row>
    <row r="264" customFormat="false" ht="12" hidden="false" customHeight="true" outlineLevel="0" collapsed="false">
      <c r="A264" s="115" t="n">
        <f aca="false">EDATE(A263,1)</f>
        <v>44986</v>
      </c>
      <c r="B264" s="116" t="n">
        <f aca="false">'Inputs-Summary'!$B$7</f>
        <v>3017157.21662952</v>
      </c>
      <c r="C264" s="57"/>
      <c r="D264" s="117" t="n">
        <f aca="false">B264+C264</f>
        <v>3017157.21662952</v>
      </c>
      <c r="E264" s="106" t="n">
        <f aca="false">IF(Z264=0,0,IF(AND(Z264=1,$H$3=1),D264*U264,IF($H$3=2,D264,"N/A")))</f>
        <v>0</v>
      </c>
      <c r="F264" s="106" t="n">
        <f aca="false">E264*Y264</f>
        <v>0</v>
      </c>
      <c r="G264" s="118" t="n">
        <f aca="false">VLOOKUP($A264,Table,MATCH(G$4,Curves,0))</f>
        <v>3</v>
      </c>
      <c r="H264" s="119" t="n">
        <f aca="false">G264+$H$7</f>
        <v>3</v>
      </c>
      <c r="I264" s="118" t="n">
        <f aca="false">'Inputs-Summary'!$B$16</f>
        <v>1.85</v>
      </c>
      <c r="J264" s="118" t="n">
        <f aca="false">VLOOKUP($A264,Table,MATCH(J$4,Curves,0))</f>
        <v>5</v>
      </c>
      <c r="K264" s="119" t="n">
        <f aca="false">J264+$K$7</f>
        <v>5</v>
      </c>
      <c r="L264" s="120" t="n">
        <f aca="false">K264</f>
        <v>5</v>
      </c>
      <c r="M264" s="118" t="n">
        <f aca="false">VLOOKUP($A264,Table,MATCH(M$4,Curves,0))</f>
        <v>5</v>
      </c>
      <c r="N264" s="119" t="n">
        <f aca="false">M264+$N$7</f>
        <v>5</v>
      </c>
      <c r="O264" s="120" t="n">
        <f aca="false">N264</f>
        <v>5</v>
      </c>
      <c r="P264" s="109"/>
      <c r="Q264" s="120" t="n">
        <f aca="false">IF($F$3=1,M264+J264+G264,J264+G264)</f>
        <v>8</v>
      </c>
      <c r="R264" s="120" t="n">
        <f aca="false">IF($F$3=1,N264+K264+H264,K264+H264)</f>
        <v>8</v>
      </c>
      <c r="S264" s="120" t="n">
        <f aca="false">IF($F$3=1,O264+L264+I264,L264+I264)</f>
        <v>6.85</v>
      </c>
      <c r="T264" s="121"/>
      <c r="U264" s="67" t="n">
        <f aca="false">A265-A264</f>
        <v>31</v>
      </c>
      <c r="V264" s="122" t="n">
        <f aca="false">CHOOSE(F$3,A265+24,A264)</f>
        <v>44986</v>
      </c>
      <c r="W264" s="67" t="n">
        <f aca="false">V264-C$3</f>
        <v>-940</v>
      </c>
      <c r="X264" s="118" t="n">
        <f aca="false">VLOOKUP($A264,Table,MATCH(X$4,Curves,0))</f>
        <v>2</v>
      </c>
      <c r="Y264" s="123" t="n">
        <f aca="false">1/(1+CHOOSE(F$3,(X265+($K$3/10000))/2,(X264+($K$3/10000))/2))^(2*W264/365.25)</f>
        <v>35.436383730434</v>
      </c>
      <c r="Z264" s="67" t="n">
        <f aca="false">IF(AND(mthbeg&lt;=A264,mthend&gt;=A264),1,0)</f>
        <v>0</v>
      </c>
      <c r="AA264" s="67" t="n">
        <f aca="false">U264*Z264</f>
        <v>0</v>
      </c>
      <c r="AC264" s="110" t="n">
        <f aca="false">F264*(H264-I264)</f>
        <v>0</v>
      </c>
      <c r="AD264" s="49"/>
      <c r="AE264" s="124"/>
    </row>
    <row r="265" customFormat="false" ht="12" hidden="false" customHeight="true" outlineLevel="0" collapsed="false">
      <c r="A265" s="115" t="n">
        <f aca="false">EDATE(A264,1)</f>
        <v>45017</v>
      </c>
      <c r="B265" s="116" t="n">
        <f aca="false">'Inputs-Summary'!$B$7</f>
        <v>3017157.21662952</v>
      </c>
      <c r="C265" s="57"/>
      <c r="D265" s="117" t="n">
        <f aca="false">B265+C265</f>
        <v>3017157.21662952</v>
      </c>
      <c r="E265" s="106" t="n">
        <f aca="false">IF(Z265=0,0,IF(AND(Z265=1,$H$3=1),D265*U265,IF($H$3=2,D265,"N/A")))</f>
        <v>0</v>
      </c>
      <c r="F265" s="106" t="n">
        <f aca="false">E265*Y265</f>
        <v>0</v>
      </c>
      <c r="G265" s="118" t="n">
        <f aca="false">VLOOKUP($A265,Table,MATCH(G$4,Curves,0))</f>
        <v>3</v>
      </c>
      <c r="H265" s="119" t="n">
        <f aca="false">G265+$H$7</f>
        <v>3</v>
      </c>
      <c r="I265" s="118" t="n">
        <f aca="false">'Inputs-Summary'!$B$16</f>
        <v>1.85</v>
      </c>
      <c r="J265" s="118" t="n">
        <f aca="false">VLOOKUP($A265,Table,MATCH(J$4,Curves,0))</f>
        <v>5</v>
      </c>
      <c r="K265" s="119" t="n">
        <f aca="false">J265+$K$7</f>
        <v>5</v>
      </c>
      <c r="L265" s="120" t="n">
        <f aca="false">K265</f>
        <v>5</v>
      </c>
      <c r="M265" s="118" t="n">
        <f aca="false">VLOOKUP($A265,Table,MATCH(M$4,Curves,0))</f>
        <v>5</v>
      </c>
      <c r="N265" s="119" t="n">
        <f aca="false">M265+$N$7</f>
        <v>5</v>
      </c>
      <c r="O265" s="120" t="n">
        <f aca="false">N265</f>
        <v>5</v>
      </c>
      <c r="P265" s="109"/>
      <c r="Q265" s="120" t="n">
        <f aca="false">IF($F$3=1,M265+J265+G265,J265+G265)</f>
        <v>8</v>
      </c>
      <c r="R265" s="120" t="n">
        <f aca="false">IF($F$3=1,N265+K265+H265,K265+H265)</f>
        <v>8</v>
      </c>
      <c r="S265" s="120" t="n">
        <f aca="false">IF($F$3=1,O265+L265+I265,L265+I265)</f>
        <v>6.85</v>
      </c>
      <c r="T265" s="121"/>
      <c r="U265" s="67" t="n">
        <f aca="false">A266-A265</f>
        <v>30</v>
      </c>
      <c r="V265" s="122" t="n">
        <f aca="false">CHOOSE(F$3,A266+24,A265)</f>
        <v>45017</v>
      </c>
      <c r="W265" s="67" t="n">
        <f aca="false">V265-C$3</f>
        <v>-909</v>
      </c>
      <c r="X265" s="118" t="n">
        <f aca="false">VLOOKUP($A265,Table,MATCH(X$4,Curves,0))</f>
        <v>2</v>
      </c>
      <c r="Y265" s="123" t="n">
        <f aca="false">1/(1+CHOOSE(F$3,(X266+($K$3/10000))/2,(X265+($K$3/10000))/2))^(2*W265/365.25)</f>
        <v>31.50289987065</v>
      </c>
      <c r="Z265" s="67" t="n">
        <f aca="false">IF(AND(mthbeg&lt;=A265,mthend&gt;=A265),1,0)</f>
        <v>0</v>
      </c>
      <c r="AA265" s="67" t="n">
        <f aca="false">U265*Z265</f>
        <v>0</v>
      </c>
      <c r="AC265" s="110" t="n">
        <f aca="false">F265*(H265-I265)</f>
        <v>0</v>
      </c>
      <c r="AD265" s="49"/>
      <c r="AE265" s="124"/>
    </row>
    <row r="266" customFormat="false" ht="12" hidden="false" customHeight="true" outlineLevel="0" collapsed="false">
      <c r="A266" s="115" t="n">
        <f aca="false">EDATE(A265,1)</f>
        <v>45047</v>
      </c>
      <c r="B266" s="116" t="n">
        <f aca="false">'Inputs-Summary'!$B$7</f>
        <v>3017157.21662952</v>
      </c>
      <c r="C266" s="57"/>
      <c r="D266" s="117" t="n">
        <f aca="false">B266+C266</f>
        <v>3017157.21662952</v>
      </c>
      <c r="E266" s="106" t="n">
        <f aca="false">IF(Z266=0,0,IF(AND(Z266=1,$H$3=1),D266*U266,IF($H$3=2,D266,"N/A")))</f>
        <v>0</v>
      </c>
      <c r="F266" s="106" t="n">
        <f aca="false">E266*Y266</f>
        <v>0</v>
      </c>
      <c r="G266" s="118" t="n">
        <f aca="false">VLOOKUP($A266,Table,MATCH(G$4,Curves,0))</f>
        <v>3</v>
      </c>
      <c r="H266" s="119" t="n">
        <f aca="false">G266+$H$7</f>
        <v>3</v>
      </c>
      <c r="I266" s="118" t="n">
        <f aca="false">'Inputs-Summary'!$B$16</f>
        <v>1.85</v>
      </c>
      <c r="J266" s="118" t="n">
        <f aca="false">VLOOKUP($A266,Table,MATCH(J$4,Curves,0))</f>
        <v>5</v>
      </c>
      <c r="K266" s="119" t="n">
        <f aca="false">J266+$K$7</f>
        <v>5</v>
      </c>
      <c r="L266" s="120" t="n">
        <f aca="false">K266</f>
        <v>5</v>
      </c>
      <c r="M266" s="118" t="n">
        <f aca="false">VLOOKUP($A266,Table,MATCH(M$4,Curves,0))</f>
        <v>5</v>
      </c>
      <c r="N266" s="119" t="n">
        <f aca="false">M266+$N$7</f>
        <v>5</v>
      </c>
      <c r="O266" s="120" t="n">
        <f aca="false">N266</f>
        <v>5</v>
      </c>
      <c r="P266" s="109"/>
      <c r="Q266" s="120" t="n">
        <f aca="false">IF($F$3=1,M266+J266+G266,J266+G266)</f>
        <v>8</v>
      </c>
      <c r="R266" s="120" t="n">
        <f aca="false">IF($F$3=1,N266+K266+H266,K266+H266)</f>
        <v>8</v>
      </c>
      <c r="S266" s="120" t="n">
        <f aca="false">IF($F$3=1,O266+L266+I266,L266+I266)</f>
        <v>6.85</v>
      </c>
      <c r="T266" s="121"/>
      <c r="U266" s="67" t="n">
        <f aca="false">A267-A266</f>
        <v>31</v>
      </c>
      <c r="V266" s="122" t="n">
        <f aca="false">CHOOSE(F$3,A267+24,A266)</f>
        <v>45047</v>
      </c>
      <c r="W266" s="67" t="n">
        <f aca="false">V266-C$3</f>
        <v>-879</v>
      </c>
      <c r="X266" s="118" t="n">
        <f aca="false">VLOOKUP($A266,Table,MATCH(X$4,Curves,0))</f>
        <v>2</v>
      </c>
      <c r="Y266" s="123" t="n">
        <f aca="false">1/(1+CHOOSE(F$3,(X267+($K$3/10000))/2,(X266+($K$3/10000))/2))^(2*W266/365.25)</f>
        <v>28.1125357158575</v>
      </c>
      <c r="Z266" s="67" t="n">
        <f aca="false">IF(AND(mthbeg&lt;=A266,mthend&gt;=A266),1,0)</f>
        <v>0</v>
      </c>
      <c r="AA266" s="67" t="n">
        <f aca="false">U266*Z266</f>
        <v>0</v>
      </c>
      <c r="AC266" s="110" t="n">
        <f aca="false">F266*(H266-I266)</f>
        <v>0</v>
      </c>
      <c r="AD266" s="49"/>
      <c r="AE266" s="124"/>
    </row>
    <row r="267" customFormat="false" ht="12" hidden="false" customHeight="true" outlineLevel="0" collapsed="false">
      <c r="A267" s="115" t="n">
        <f aca="false">EDATE(A266,1)</f>
        <v>45078</v>
      </c>
      <c r="B267" s="116" t="n">
        <f aca="false">'Inputs-Summary'!$B$7</f>
        <v>3017157.21662952</v>
      </c>
      <c r="C267" s="57"/>
      <c r="D267" s="117" t="n">
        <f aca="false">B267+C267</f>
        <v>3017157.21662952</v>
      </c>
      <c r="E267" s="106" t="n">
        <f aca="false">IF(Z267=0,0,IF(AND(Z267=1,$H$3=1),D267*U267,IF($H$3=2,D267,"N/A")))</f>
        <v>0</v>
      </c>
      <c r="F267" s="106" t="n">
        <f aca="false">E267*Y267</f>
        <v>0</v>
      </c>
      <c r="G267" s="118" t="n">
        <f aca="false">VLOOKUP($A267,Table,MATCH(G$4,Curves,0))</f>
        <v>3</v>
      </c>
      <c r="H267" s="119" t="n">
        <f aca="false">G267+$H$7</f>
        <v>3</v>
      </c>
      <c r="I267" s="118" t="n">
        <f aca="false">'Inputs-Summary'!$B$16</f>
        <v>1.85</v>
      </c>
      <c r="J267" s="118" t="n">
        <f aca="false">VLOOKUP($A267,Table,MATCH(J$4,Curves,0))</f>
        <v>5</v>
      </c>
      <c r="K267" s="119" t="n">
        <f aca="false">J267+$K$7</f>
        <v>5</v>
      </c>
      <c r="L267" s="120" t="n">
        <f aca="false">K267</f>
        <v>5</v>
      </c>
      <c r="M267" s="118" t="n">
        <f aca="false">VLOOKUP($A267,Table,MATCH(M$4,Curves,0))</f>
        <v>5</v>
      </c>
      <c r="N267" s="119" t="n">
        <f aca="false">M267+$N$7</f>
        <v>5</v>
      </c>
      <c r="O267" s="120" t="n">
        <f aca="false">N267</f>
        <v>5</v>
      </c>
      <c r="P267" s="109"/>
      <c r="Q267" s="120" t="n">
        <f aca="false">IF($F$3=1,M267+J267+G267,J267+G267)</f>
        <v>8</v>
      </c>
      <c r="R267" s="120" t="n">
        <f aca="false">IF($F$3=1,N267+K267+H267,K267+H267)</f>
        <v>8</v>
      </c>
      <c r="S267" s="120" t="n">
        <f aca="false">IF($F$3=1,O267+L267+I267,L267+I267)</f>
        <v>6.85</v>
      </c>
      <c r="T267" s="121"/>
      <c r="U267" s="67" t="n">
        <f aca="false">A268-A267</f>
        <v>30</v>
      </c>
      <c r="V267" s="122" t="n">
        <f aca="false">CHOOSE(F$3,A268+24,A267)</f>
        <v>45078</v>
      </c>
      <c r="W267" s="67" t="n">
        <f aca="false">V267-C$3</f>
        <v>-848</v>
      </c>
      <c r="X267" s="118" t="n">
        <f aca="false">VLOOKUP($A267,Table,MATCH(X$4,Curves,0))</f>
        <v>2</v>
      </c>
      <c r="Y267" s="123" t="n">
        <f aca="false">1/(1+CHOOSE(F$3,(X268+($K$3/10000))/2,(X267+($K$3/10000))/2))^(2*W267/365.25)</f>
        <v>24.9920083410239</v>
      </c>
      <c r="Z267" s="67" t="n">
        <f aca="false">IF(AND(mthbeg&lt;=A267,mthend&gt;=A267),1,0)</f>
        <v>0</v>
      </c>
      <c r="AA267" s="67" t="n">
        <f aca="false">U267*Z267</f>
        <v>0</v>
      </c>
      <c r="AC267" s="110" t="n">
        <f aca="false">F267*(H267-I267)</f>
        <v>0</v>
      </c>
      <c r="AD267" s="49"/>
      <c r="AE267" s="124"/>
    </row>
    <row r="268" customFormat="false" ht="12" hidden="false" customHeight="true" outlineLevel="0" collapsed="false">
      <c r="A268" s="115" t="n">
        <f aca="false">EDATE(A267,1)</f>
        <v>45108</v>
      </c>
      <c r="B268" s="116" t="n">
        <f aca="false">'Inputs-Summary'!$B$7</f>
        <v>3017157.21662952</v>
      </c>
      <c r="C268" s="57"/>
      <c r="D268" s="117" t="n">
        <f aca="false">B268+C268</f>
        <v>3017157.21662952</v>
      </c>
      <c r="E268" s="106" t="n">
        <f aca="false">IF(Z268=0,0,IF(AND(Z268=1,$H$3=1),D268*U268,IF($H$3=2,D268,"N/A")))</f>
        <v>0</v>
      </c>
      <c r="F268" s="106" t="n">
        <f aca="false">E268*Y268</f>
        <v>0</v>
      </c>
      <c r="G268" s="118" t="n">
        <f aca="false">VLOOKUP($A268,Table,MATCH(G$4,Curves,0))</f>
        <v>3</v>
      </c>
      <c r="H268" s="119" t="n">
        <f aca="false">G268+$H$7</f>
        <v>3</v>
      </c>
      <c r="I268" s="118" t="n">
        <f aca="false">'Inputs-Summary'!$B$16</f>
        <v>1.85</v>
      </c>
      <c r="J268" s="118" t="n">
        <f aca="false">VLOOKUP($A268,Table,MATCH(J$4,Curves,0))</f>
        <v>5</v>
      </c>
      <c r="K268" s="119" t="n">
        <f aca="false">J268+$K$7</f>
        <v>5</v>
      </c>
      <c r="L268" s="120" t="n">
        <f aca="false">K268</f>
        <v>5</v>
      </c>
      <c r="M268" s="118" t="n">
        <f aca="false">VLOOKUP($A268,Table,MATCH(M$4,Curves,0))</f>
        <v>5</v>
      </c>
      <c r="N268" s="119" t="n">
        <f aca="false">M268+$N$7</f>
        <v>5</v>
      </c>
      <c r="O268" s="120" t="n">
        <f aca="false">N268</f>
        <v>5</v>
      </c>
      <c r="P268" s="109"/>
      <c r="Q268" s="120" t="n">
        <f aca="false">IF($F$3=1,M268+J268+G268,J268+G268)</f>
        <v>8</v>
      </c>
      <c r="R268" s="120" t="n">
        <f aca="false">IF($F$3=1,N268+K268+H268,K268+H268)</f>
        <v>8</v>
      </c>
      <c r="S268" s="120" t="n">
        <f aca="false">IF($F$3=1,O268+L268+I268,L268+I268)</f>
        <v>6.85</v>
      </c>
      <c r="T268" s="121"/>
      <c r="U268" s="67" t="n">
        <f aca="false">A269-A268</f>
        <v>31</v>
      </c>
      <c r="V268" s="122" t="n">
        <f aca="false">CHOOSE(F$3,A269+24,A268)</f>
        <v>45108</v>
      </c>
      <c r="W268" s="67" t="n">
        <f aca="false">V268-C$3</f>
        <v>-818</v>
      </c>
      <c r="X268" s="118" t="n">
        <f aca="false">VLOOKUP($A268,Table,MATCH(X$4,Curves,0))</f>
        <v>2</v>
      </c>
      <c r="Y268" s="123" t="n">
        <f aca="false">1/(1+CHOOSE(F$3,(X269+($K$3/10000))/2,(X268+($K$3/10000))/2))^(2*W268/365.25)</f>
        <v>22.3023508941352</v>
      </c>
      <c r="Z268" s="67" t="n">
        <f aca="false">IF(AND(mthbeg&lt;=A268,mthend&gt;=A268),1,0)</f>
        <v>0</v>
      </c>
      <c r="AA268" s="67" t="n">
        <f aca="false">U268*Z268</f>
        <v>0</v>
      </c>
      <c r="AC268" s="110" t="n">
        <f aca="false">F268*(H268-I268)</f>
        <v>0</v>
      </c>
      <c r="AD268" s="49"/>
      <c r="AE268" s="124"/>
    </row>
    <row r="269" customFormat="false" ht="12" hidden="false" customHeight="true" outlineLevel="0" collapsed="false">
      <c r="A269" s="115" t="n">
        <f aca="false">EDATE(A268,1)</f>
        <v>45139</v>
      </c>
      <c r="B269" s="116" t="n">
        <f aca="false">'Inputs-Summary'!$B$7</f>
        <v>3017157.21662952</v>
      </c>
      <c r="C269" s="57"/>
      <c r="D269" s="117" t="n">
        <f aca="false">B269+C269</f>
        <v>3017157.21662952</v>
      </c>
      <c r="E269" s="106" t="n">
        <f aca="false">IF(Z269=0,0,IF(AND(Z269=1,$H$3=1),D269*U269,IF($H$3=2,D269,"N/A")))</f>
        <v>0</v>
      </c>
      <c r="F269" s="106" t="n">
        <f aca="false">E269*Y269</f>
        <v>0</v>
      </c>
      <c r="G269" s="118" t="n">
        <f aca="false">VLOOKUP($A269,Table,MATCH(G$4,Curves,0))</f>
        <v>3</v>
      </c>
      <c r="H269" s="119" t="n">
        <f aca="false">G269+$H$7</f>
        <v>3</v>
      </c>
      <c r="I269" s="118" t="n">
        <f aca="false">'Inputs-Summary'!$B$16</f>
        <v>1.85</v>
      </c>
      <c r="J269" s="118" t="n">
        <f aca="false">VLOOKUP($A269,Table,MATCH(J$4,Curves,0))</f>
        <v>5</v>
      </c>
      <c r="K269" s="119" t="n">
        <f aca="false">J269+$K$7</f>
        <v>5</v>
      </c>
      <c r="L269" s="120" t="n">
        <f aca="false">K269</f>
        <v>5</v>
      </c>
      <c r="M269" s="118" t="n">
        <f aca="false">VLOOKUP($A269,Table,MATCH(M$4,Curves,0))</f>
        <v>5</v>
      </c>
      <c r="N269" s="119" t="n">
        <f aca="false">M269+$N$7</f>
        <v>5</v>
      </c>
      <c r="O269" s="120" t="n">
        <f aca="false">N269</f>
        <v>5</v>
      </c>
      <c r="P269" s="109"/>
      <c r="Q269" s="120" t="n">
        <f aca="false">IF($F$3=1,M269+J269+G269,J269+G269)</f>
        <v>8</v>
      </c>
      <c r="R269" s="120" t="n">
        <f aca="false">IF($F$3=1,N269+K269+H269,K269+H269)</f>
        <v>8</v>
      </c>
      <c r="S269" s="120" t="n">
        <f aca="false">IF($F$3=1,O269+L269+I269,L269+I269)</f>
        <v>6.85</v>
      </c>
      <c r="T269" s="121"/>
      <c r="U269" s="67" t="n">
        <f aca="false">A270-A269</f>
        <v>31</v>
      </c>
      <c r="V269" s="122" t="n">
        <f aca="false">CHOOSE(F$3,A270+24,A269)</f>
        <v>45139</v>
      </c>
      <c r="W269" s="67" t="n">
        <f aca="false">V269-C$3</f>
        <v>-787</v>
      </c>
      <c r="X269" s="118" t="n">
        <f aca="false">VLOOKUP($A269,Table,MATCH(X$4,Curves,0))</f>
        <v>2</v>
      </c>
      <c r="Y269" s="123" t="n">
        <f aca="false">1/(1+CHOOSE(F$3,(X270+($K$3/10000))/2,(X269+($K$3/10000))/2))^(2*W269/365.25)</f>
        <v>19.8267614563231</v>
      </c>
      <c r="Z269" s="67" t="n">
        <f aca="false">IF(AND(mthbeg&lt;=A269,mthend&gt;=A269),1,0)</f>
        <v>0</v>
      </c>
      <c r="AA269" s="67" t="n">
        <f aca="false">U269*Z269</f>
        <v>0</v>
      </c>
      <c r="AC269" s="110" t="n">
        <f aca="false">F269*(H269-I269)</f>
        <v>0</v>
      </c>
      <c r="AD269" s="49"/>
      <c r="AE269" s="124"/>
    </row>
    <row r="270" customFormat="false" ht="12" hidden="false" customHeight="true" outlineLevel="0" collapsed="false">
      <c r="A270" s="115" t="n">
        <f aca="false">EDATE(A269,1)</f>
        <v>45170</v>
      </c>
      <c r="B270" s="116" t="n">
        <f aca="false">'Inputs-Summary'!$B$7</f>
        <v>3017157.21662952</v>
      </c>
      <c r="C270" s="57"/>
      <c r="D270" s="117" t="n">
        <f aca="false">B270+C270</f>
        <v>3017157.21662952</v>
      </c>
      <c r="E270" s="106" t="n">
        <f aca="false">IF(Z270=0,0,IF(AND(Z270=1,$H$3=1),D270*U270,IF($H$3=2,D270,"N/A")))</f>
        <v>0</v>
      </c>
      <c r="F270" s="106" t="n">
        <f aca="false">E270*Y270</f>
        <v>0</v>
      </c>
      <c r="G270" s="118" t="n">
        <f aca="false">VLOOKUP($A270,Table,MATCH(G$4,Curves,0))</f>
        <v>3</v>
      </c>
      <c r="H270" s="119" t="n">
        <f aca="false">G270+$H$7</f>
        <v>3</v>
      </c>
      <c r="I270" s="118" t="n">
        <f aca="false">'Inputs-Summary'!$B$16</f>
        <v>1.85</v>
      </c>
      <c r="J270" s="118" t="n">
        <f aca="false">VLOOKUP($A270,Table,MATCH(J$4,Curves,0))</f>
        <v>5</v>
      </c>
      <c r="K270" s="119" t="n">
        <f aca="false">J270+$K$7</f>
        <v>5</v>
      </c>
      <c r="L270" s="120" t="n">
        <f aca="false">K270</f>
        <v>5</v>
      </c>
      <c r="M270" s="118" t="n">
        <f aca="false">VLOOKUP($A270,Table,MATCH(M$4,Curves,0))</f>
        <v>5</v>
      </c>
      <c r="N270" s="119" t="n">
        <f aca="false">M270+$N$7</f>
        <v>5</v>
      </c>
      <c r="O270" s="120" t="n">
        <f aca="false">N270</f>
        <v>5</v>
      </c>
      <c r="P270" s="109"/>
      <c r="Q270" s="120" t="n">
        <f aca="false">IF($F$3=1,M270+J270+G270,J270+G270)</f>
        <v>8</v>
      </c>
      <c r="R270" s="120" t="n">
        <f aca="false">IF($F$3=1,N270+K270+H270,K270+H270)</f>
        <v>8</v>
      </c>
      <c r="S270" s="120" t="n">
        <f aca="false">IF($F$3=1,O270+L270+I270,L270+I270)</f>
        <v>6.85</v>
      </c>
      <c r="T270" s="121"/>
      <c r="U270" s="67" t="n">
        <f aca="false">A271-A270</f>
        <v>30</v>
      </c>
      <c r="V270" s="122" t="n">
        <f aca="false">CHOOSE(F$3,A271+24,A270)</f>
        <v>45170</v>
      </c>
      <c r="W270" s="67" t="n">
        <f aca="false">V270-C$3</f>
        <v>-756</v>
      </c>
      <c r="X270" s="118" t="n">
        <f aca="false">VLOOKUP($A270,Table,MATCH(X$4,Curves,0))</f>
        <v>2</v>
      </c>
      <c r="Y270" s="123" t="n">
        <f aca="false">1/(1+CHOOSE(F$3,(X271+($K$3/10000))/2,(X270+($K$3/10000))/2))^(2*W270/365.25)</f>
        <v>17.625965608375</v>
      </c>
      <c r="Z270" s="67" t="n">
        <f aca="false">IF(AND(mthbeg&lt;=A270,mthend&gt;=A270),1,0)</f>
        <v>0</v>
      </c>
      <c r="AA270" s="67" t="n">
        <f aca="false">U270*Z270</f>
        <v>0</v>
      </c>
      <c r="AC270" s="110" t="n">
        <f aca="false">F270*(H270-I270)</f>
        <v>0</v>
      </c>
      <c r="AD270" s="49"/>
      <c r="AE270" s="124"/>
    </row>
    <row r="271" customFormat="false" ht="12" hidden="false" customHeight="true" outlineLevel="0" collapsed="false">
      <c r="A271" s="115" t="n">
        <f aca="false">EDATE(A270,1)</f>
        <v>45200</v>
      </c>
      <c r="B271" s="116" t="n">
        <f aca="false">'Inputs-Summary'!$B$7</f>
        <v>3017157.21662952</v>
      </c>
      <c r="C271" s="57"/>
      <c r="D271" s="117" t="n">
        <f aca="false">B271+C271</f>
        <v>3017157.21662952</v>
      </c>
      <c r="E271" s="106" t="n">
        <f aca="false">IF(Z271=0,0,IF(AND(Z271=1,$H$3=1),D271*U271,IF($H$3=2,D271,"N/A")))</f>
        <v>0</v>
      </c>
      <c r="F271" s="106" t="n">
        <f aca="false">E271*Y271</f>
        <v>0</v>
      </c>
      <c r="G271" s="118" t="n">
        <f aca="false">VLOOKUP($A271,Table,MATCH(G$4,Curves,0))</f>
        <v>3</v>
      </c>
      <c r="H271" s="119" t="n">
        <f aca="false">G271+$H$7</f>
        <v>3</v>
      </c>
      <c r="I271" s="118" t="n">
        <f aca="false">'Inputs-Summary'!$B$16</f>
        <v>1.85</v>
      </c>
      <c r="J271" s="118" t="n">
        <f aca="false">VLOOKUP($A271,Table,MATCH(J$4,Curves,0))</f>
        <v>5</v>
      </c>
      <c r="K271" s="119" t="n">
        <f aca="false">J271+$K$7</f>
        <v>5</v>
      </c>
      <c r="L271" s="120" t="n">
        <f aca="false">K271</f>
        <v>5</v>
      </c>
      <c r="M271" s="118" t="n">
        <f aca="false">VLOOKUP($A271,Table,MATCH(M$4,Curves,0))</f>
        <v>5</v>
      </c>
      <c r="N271" s="119" t="n">
        <f aca="false">M271+$N$7</f>
        <v>5</v>
      </c>
      <c r="O271" s="120" t="n">
        <f aca="false">N271</f>
        <v>5</v>
      </c>
      <c r="P271" s="109"/>
      <c r="Q271" s="120" t="n">
        <f aca="false">IF($F$3=1,M271+J271+G271,J271+G271)</f>
        <v>8</v>
      </c>
      <c r="R271" s="120" t="n">
        <f aca="false">IF($F$3=1,N271+K271+H271,K271+H271)</f>
        <v>8</v>
      </c>
      <c r="S271" s="120" t="n">
        <f aca="false">IF($F$3=1,O271+L271+I271,L271+I271)</f>
        <v>6.85</v>
      </c>
      <c r="T271" s="121"/>
      <c r="U271" s="67" t="n">
        <f aca="false">A272-A271</f>
        <v>31</v>
      </c>
      <c r="V271" s="122" t="n">
        <f aca="false">CHOOSE(F$3,A272+24,A271)</f>
        <v>45200</v>
      </c>
      <c r="W271" s="67" t="n">
        <f aca="false">V271-C$3</f>
        <v>-726</v>
      </c>
      <c r="X271" s="118" t="n">
        <f aca="false">VLOOKUP($A271,Table,MATCH(X$4,Curves,0))</f>
        <v>2</v>
      </c>
      <c r="Y271" s="123" t="n">
        <f aca="false">1/(1+CHOOSE(F$3,(X272+($K$3/10000))/2,(X271+($K$3/10000))/2))^(2*W271/365.25)</f>
        <v>15.7290468409724</v>
      </c>
      <c r="Z271" s="67" t="n">
        <f aca="false">IF(AND(mthbeg&lt;=A271,mthend&gt;=A271),1,0)</f>
        <v>0</v>
      </c>
      <c r="AA271" s="67" t="n">
        <f aca="false">U271*Z271</f>
        <v>0</v>
      </c>
      <c r="AC271" s="110" t="n">
        <f aca="false">F271*(H271-I271)</f>
        <v>0</v>
      </c>
      <c r="AD271" s="49"/>
      <c r="AE271" s="124"/>
    </row>
    <row r="272" customFormat="false" ht="12" hidden="false" customHeight="true" outlineLevel="0" collapsed="false">
      <c r="A272" s="115" t="n">
        <f aca="false">EDATE(A271,1)</f>
        <v>45231</v>
      </c>
      <c r="B272" s="116" t="n">
        <f aca="false">'Inputs-Summary'!$B$7</f>
        <v>3017157.21662952</v>
      </c>
      <c r="C272" s="57"/>
      <c r="D272" s="117" t="n">
        <f aca="false">B272+C272</f>
        <v>3017157.21662952</v>
      </c>
      <c r="E272" s="106" t="n">
        <f aca="false">IF(Z272=0,0,IF(AND(Z272=1,$H$3=1),D272*U272,IF($H$3=2,D272,"N/A")))</f>
        <v>0</v>
      </c>
      <c r="F272" s="106" t="n">
        <f aca="false">E272*Y272</f>
        <v>0</v>
      </c>
      <c r="G272" s="118" t="n">
        <f aca="false">VLOOKUP($A272,Table,MATCH(G$4,Curves,0))</f>
        <v>3</v>
      </c>
      <c r="H272" s="119" t="n">
        <f aca="false">G272+$H$7</f>
        <v>3</v>
      </c>
      <c r="I272" s="118" t="n">
        <f aca="false">'Inputs-Summary'!$B$16</f>
        <v>1.85</v>
      </c>
      <c r="J272" s="118" t="n">
        <f aca="false">VLOOKUP($A272,Table,MATCH(J$4,Curves,0))</f>
        <v>5</v>
      </c>
      <c r="K272" s="119" t="n">
        <f aca="false">J272+$K$7</f>
        <v>5</v>
      </c>
      <c r="L272" s="120" t="n">
        <f aca="false">K272</f>
        <v>5</v>
      </c>
      <c r="M272" s="118" t="n">
        <f aca="false">VLOOKUP($A272,Table,MATCH(M$4,Curves,0))</f>
        <v>5</v>
      </c>
      <c r="N272" s="119" t="n">
        <f aca="false">M272+$N$7</f>
        <v>5</v>
      </c>
      <c r="O272" s="120" t="n">
        <f aca="false">N272</f>
        <v>5</v>
      </c>
      <c r="P272" s="109"/>
      <c r="Q272" s="120" t="n">
        <f aca="false">IF($F$3=1,M272+J272+G272,J272+G272)</f>
        <v>8</v>
      </c>
      <c r="R272" s="120" t="n">
        <f aca="false">IF($F$3=1,N272+K272+H272,K272+H272)</f>
        <v>8</v>
      </c>
      <c r="S272" s="120" t="n">
        <f aca="false">IF($F$3=1,O272+L272+I272,L272+I272)</f>
        <v>6.85</v>
      </c>
      <c r="T272" s="121"/>
      <c r="U272" s="67" t="n">
        <f aca="false">A273-A272</f>
        <v>30</v>
      </c>
      <c r="V272" s="122" t="n">
        <f aca="false">CHOOSE(F$3,A273+24,A272)</f>
        <v>45231</v>
      </c>
      <c r="W272" s="67" t="n">
        <f aca="false">V272-C$3</f>
        <v>-695</v>
      </c>
      <c r="X272" s="118" t="n">
        <f aca="false">VLOOKUP($A272,Table,MATCH(X$4,Curves,0))</f>
        <v>2</v>
      </c>
      <c r="Y272" s="123" t="n">
        <f aca="false">1/(1+CHOOSE(F$3,(X273+($K$3/10000))/2,(X272+($K$3/10000))/2))^(2*W272/365.25)</f>
        <v>13.9831025496644</v>
      </c>
      <c r="Z272" s="67" t="n">
        <f aca="false">IF(AND(mthbeg&lt;=A272,mthend&gt;=A272),1,0)</f>
        <v>0</v>
      </c>
      <c r="AA272" s="67" t="n">
        <f aca="false">U272*Z272</f>
        <v>0</v>
      </c>
      <c r="AC272" s="110" t="n">
        <f aca="false">F272*(H272-I272)</f>
        <v>0</v>
      </c>
      <c r="AD272" s="49"/>
      <c r="AE272" s="124"/>
    </row>
    <row r="273" customFormat="false" ht="12" hidden="false" customHeight="true" outlineLevel="0" collapsed="false">
      <c r="A273" s="115" t="n">
        <f aca="false">EDATE(A272,1)</f>
        <v>45261</v>
      </c>
      <c r="B273" s="116" t="n">
        <f aca="false">'Inputs-Summary'!$B$7</f>
        <v>3017157.21662952</v>
      </c>
      <c r="C273" s="57"/>
      <c r="D273" s="117" t="n">
        <f aca="false">B273+C273</f>
        <v>3017157.21662952</v>
      </c>
      <c r="E273" s="106" t="n">
        <f aca="false">IF(Z273=0,0,IF(AND(Z273=1,$H$3=1),D273*U273,IF($H$3=2,D273,"N/A")))</f>
        <v>0</v>
      </c>
      <c r="F273" s="106" t="n">
        <f aca="false">E273*Y273</f>
        <v>0</v>
      </c>
      <c r="G273" s="118" t="n">
        <f aca="false">VLOOKUP($A273,Table,MATCH(G$4,Curves,0))</f>
        <v>3</v>
      </c>
      <c r="H273" s="119" t="n">
        <f aca="false">G273+$H$7</f>
        <v>3</v>
      </c>
      <c r="I273" s="118" t="n">
        <f aca="false">'Inputs-Summary'!$B$16</f>
        <v>1.85</v>
      </c>
      <c r="J273" s="118" t="n">
        <f aca="false">VLOOKUP($A273,Table,MATCH(J$4,Curves,0))</f>
        <v>5</v>
      </c>
      <c r="K273" s="119" t="n">
        <f aca="false">J273+$K$7</f>
        <v>5</v>
      </c>
      <c r="L273" s="120" t="n">
        <f aca="false">K273</f>
        <v>5</v>
      </c>
      <c r="M273" s="118" t="n">
        <f aca="false">VLOOKUP($A273,Table,MATCH(M$4,Curves,0))</f>
        <v>5</v>
      </c>
      <c r="N273" s="119" t="n">
        <f aca="false">M273+$N$7</f>
        <v>5</v>
      </c>
      <c r="O273" s="120" t="n">
        <f aca="false">N273</f>
        <v>5</v>
      </c>
      <c r="P273" s="109"/>
      <c r="Q273" s="120" t="n">
        <f aca="false">IF($F$3=1,M273+J273+G273,J273+G273)</f>
        <v>8</v>
      </c>
      <c r="R273" s="120" t="n">
        <f aca="false">IF($F$3=1,N273+K273+H273,K273+H273)</f>
        <v>8</v>
      </c>
      <c r="S273" s="120" t="n">
        <f aca="false">IF($F$3=1,O273+L273+I273,L273+I273)</f>
        <v>6.85</v>
      </c>
      <c r="T273" s="121"/>
      <c r="U273" s="67" t="n">
        <f aca="false">A274-A273</f>
        <v>31</v>
      </c>
      <c r="V273" s="122" t="n">
        <f aca="false">CHOOSE(F$3,A274+24,A273)</f>
        <v>45261</v>
      </c>
      <c r="W273" s="67" t="n">
        <f aca="false">V273-C$3</f>
        <v>-665</v>
      </c>
      <c r="X273" s="118" t="n">
        <f aca="false">VLOOKUP($A273,Table,MATCH(X$4,Curves,0))</f>
        <v>2</v>
      </c>
      <c r="Y273" s="123" t="n">
        <f aca="false">1/(1+CHOOSE(F$3,(X274+($K$3/10000))/2,(X273+($K$3/10000))/2))^(2*W273/365.25)</f>
        <v>12.4782312568048</v>
      </c>
      <c r="Z273" s="67" t="n">
        <f aca="false">IF(AND(mthbeg&lt;=A273,mthend&gt;=A273),1,0)</f>
        <v>0</v>
      </c>
      <c r="AA273" s="67" t="n">
        <f aca="false">U273*Z273</f>
        <v>0</v>
      </c>
      <c r="AC273" s="110" t="n">
        <f aca="false">F273*(H273-I273)</f>
        <v>0</v>
      </c>
      <c r="AD273" s="49"/>
      <c r="AE273" s="124"/>
    </row>
    <row r="274" customFormat="false" ht="12" hidden="false" customHeight="true" outlineLevel="0" collapsed="false">
      <c r="A274" s="115" t="n">
        <f aca="false">EDATE(A273,1)</f>
        <v>45292</v>
      </c>
      <c r="B274" s="116" t="n">
        <f aca="false">'Inputs-Summary'!$B$7</f>
        <v>3017157.21662952</v>
      </c>
      <c r="C274" s="57"/>
      <c r="D274" s="117" t="n">
        <f aca="false">B274+C274</f>
        <v>3017157.21662952</v>
      </c>
      <c r="E274" s="106" t="n">
        <f aca="false">IF(Z274=0,0,IF(AND(Z274=1,$H$3=1),D274*U274,IF($H$3=2,D274,"N/A")))</f>
        <v>0</v>
      </c>
      <c r="F274" s="106" t="n">
        <f aca="false">E274*Y274</f>
        <v>0</v>
      </c>
      <c r="G274" s="118" t="n">
        <f aca="false">VLOOKUP($A274,Table,MATCH(G$4,Curves,0))</f>
        <v>3</v>
      </c>
      <c r="H274" s="119" t="n">
        <f aca="false">G274+$H$7</f>
        <v>3</v>
      </c>
      <c r="I274" s="118" t="n">
        <f aca="false">'Inputs-Summary'!$B$16</f>
        <v>1.85</v>
      </c>
      <c r="J274" s="118" t="n">
        <f aca="false">VLOOKUP($A274,Table,MATCH(J$4,Curves,0))</f>
        <v>5</v>
      </c>
      <c r="K274" s="119" t="n">
        <f aca="false">J274+$K$7</f>
        <v>5</v>
      </c>
      <c r="L274" s="120" t="n">
        <f aca="false">K274</f>
        <v>5</v>
      </c>
      <c r="M274" s="118" t="n">
        <f aca="false">VLOOKUP($A274,Table,MATCH(M$4,Curves,0))</f>
        <v>5</v>
      </c>
      <c r="N274" s="119" t="n">
        <f aca="false">M274+$N$7</f>
        <v>5</v>
      </c>
      <c r="O274" s="120" t="n">
        <f aca="false">N274</f>
        <v>5</v>
      </c>
      <c r="P274" s="109"/>
      <c r="Q274" s="120" t="n">
        <f aca="false">IF($F$3=1,M274+J274+G274,J274+G274)</f>
        <v>8</v>
      </c>
      <c r="R274" s="120" t="n">
        <f aca="false">IF($F$3=1,N274+K274+H274,K274+H274)</f>
        <v>8</v>
      </c>
      <c r="S274" s="120" t="n">
        <f aca="false">IF($F$3=1,O274+L274+I274,L274+I274)</f>
        <v>6.85</v>
      </c>
      <c r="T274" s="121"/>
      <c r="U274" s="67" t="n">
        <f aca="false">A275-A274</f>
        <v>31</v>
      </c>
      <c r="V274" s="122" t="n">
        <f aca="false">CHOOSE(F$3,A275+24,A274)</f>
        <v>45292</v>
      </c>
      <c r="W274" s="67" t="n">
        <f aca="false">V274-C$3</f>
        <v>-634</v>
      </c>
      <c r="X274" s="118" t="n">
        <f aca="false">VLOOKUP($A274,Table,MATCH(X$4,Curves,0))</f>
        <v>2</v>
      </c>
      <c r="Y274" s="123" t="n">
        <f aca="false">1/(1+CHOOSE(F$3,(X275+($K$3/10000))/2,(X274+($K$3/10000))/2))^(2*W274/365.25)</f>
        <v>11.0931316478642</v>
      </c>
      <c r="Z274" s="67" t="n">
        <f aca="false">IF(AND(mthbeg&lt;=A274,mthend&gt;=A274),1,0)</f>
        <v>0</v>
      </c>
      <c r="AA274" s="67" t="n">
        <f aca="false">U274*Z274</f>
        <v>0</v>
      </c>
      <c r="AC274" s="110" t="n">
        <f aca="false">F274*(H274-I274)</f>
        <v>0</v>
      </c>
      <c r="AD274" s="49"/>
      <c r="AE274" s="124"/>
    </row>
    <row r="275" customFormat="false" ht="12" hidden="false" customHeight="true" outlineLevel="0" collapsed="false">
      <c r="A275" s="115" t="n">
        <f aca="false">EDATE(A274,1)</f>
        <v>45323</v>
      </c>
      <c r="B275" s="116" t="n">
        <f aca="false">'Inputs-Summary'!$B$7</f>
        <v>3017157.21662952</v>
      </c>
      <c r="C275" s="57"/>
      <c r="D275" s="117" t="n">
        <f aca="false">B275+C275</f>
        <v>3017157.21662952</v>
      </c>
      <c r="E275" s="106" t="n">
        <f aca="false">IF(Z275=0,0,IF(AND(Z275=1,$H$3=1),D275*U275,IF($H$3=2,D275,"N/A")))</f>
        <v>0</v>
      </c>
      <c r="F275" s="106" t="n">
        <f aca="false">E275*Y275</f>
        <v>0</v>
      </c>
      <c r="G275" s="118" t="n">
        <f aca="false">VLOOKUP($A275,Table,MATCH(G$4,Curves,0))</f>
        <v>3</v>
      </c>
      <c r="H275" s="119" t="n">
        <f aca="false">G275+$H$7</f>
        <v>3</v>
      </c>
      <c r="I275" s="118" t="n">
        <f aca="false">'Inputs-Summary'!$B$16</f>
        <v>1.85</v>
      </c>
      <c r="J275" s="118" t="n">
        <f aca="false">VLOOKUP($A275,Table,MATCH(J$4,Curves,0))</f>
        <v>5</v>
      </c>
      <c r="K275" s="119" t="n">
        <f aca="false">J275+$K$7</f>
        <v>5</v>
      </c>
      <c r="L275" s="120" t="n">
        <f aca="false">K275</f>
        <v>5</v>
      </c>
      <c r="M275" s="118" t="n">
        <f aca="false">VLOOKUP($A275,Table,MATCH(M$4,Curves,0))</f>
        <v>5</v>
      </c>
      <c r="N275" s="119" t="n">
        <f aca="false">M275+$N$7</f>
        <v>5</v>
      </c>
      <c r="O275" s="120" t="n">
        <f aca="false">N275</f>
        <v>5</v>
      </c>
      <c r="P275" s="109"/>
      <c r="Q275" s="120" t="n">
        <f aca="false">IF($F$3=1,M275+J275+G275,J275+G275)</f>
        <v>8</v>
      </c>
      <c r="R275" s="120" t="n">
        <f aca="false">IF($F$3=1,N275+K275+H275,K275+H275)</f>
        <v>8</v>
      </c>
      <c r="S275" s="120" t="n">
        <f aca="false">IF($F$3=1,O275+L275+I275,L275+I275)</f>
        <v>6.85</v>
      </c>
      <c r="T275" s="121"/>
      <c r="U275" s="67" t="n">
        <f aca="false">A276-A275</f>
        <v>29</v>
      </c>
      <c r="V275" s="122" t="n">
        <f aca="false">CHOOSE(F$3,A276+24,A275)</f>
        <v>45323</v>
      </c>
      <c r="W275" s="67" t="n">
        <f aca="false">V275-C$3</f>
        <v>-603</v>
      </c>
      <c r="X275" s="118" t="n">
        <f aca="false">VLOOKUP($A275,Table,MATCH(X$4,Curves,0))</f>
        <v>2</v>
      </c>
      <c r="Y275" s="123" t="n">
        <f aca="false">1/(1+CHOOSE(F$3,(X276+($K$3/10000))/2,(X275+($K$3/10000))/2))^(2*W275/365.25)</f>
        <v>9.86177986481368</v>
      </c>
      <c r="Z275" s="67" t="n">
        <f aca="false">IF(AND(mthbeg&lt;=A275,mthend&gt;=A275),1,0)</f>
        <v>0</v>
      </c>
      <c r="AA275" s="67" t="n">
        <f aca="false">U275*Z275</f>
        <v>0</v>
      </c>
      <c r="AC275" s="110" t="n">
        <f aca="false">F275*(H275-I275)</f>
        <v>0</v>
      </c>
      <c r="AD275" s="49"/>
      <c r="AE275" s="124"/>
    </row>
    <row r="276" customFormat="false" ht="12" hidden="false" customHeight="true" outlineLevel="0" collapsed="false">
      <c r="A276" s="115" t="n">
        <f aca="false">EDATE(A275,1)</f>
        <v>45352</v>
      </c>
      <c r="B276" s="116" t="n">
        <f aca="false">'Inputs-Summary'!$B$7</f>
        <v>3017157.21662952</v>
      </c>
      <c r="C276" s="57"/>
      <c r="D276" s="117" t="n">
        <f aca="false">B276+C276</f>
        <v>3017157.21662952</v>
      </c>
      <c r="E276" s="106" t="n">
        <f aca="false">IF(Z276=0,0,IF(AND(Z276=1,$H$3=1),D276*U276,IF($H$3=2,D276,"N/A")))</f>
        <v>0</v>
      </c>
      <c r="F276" s="106" t="n">
        <f aca="false">E276*Y276</f>
        <v>0</v>
      </c>
      <c r="G276" s="118" t="n">
        <f aca="false">VLOOKUP($A276,Table,MATCH(G$4,Curves,0))</f>
        <v>3</v>
      </c>
      <c r="H276" s="119" t="n">
        <f aca="false">G276+$H$7</f>
        <v>3</v>
      </c>
      <c r="I276" s="118" t="n">
        <f aca="false">'Inputs-Summary'!$B$16</f>
        <v>1.85</v>
      </c>
      <c r="J276" s="118" t="n">
        <f aca="false">VLOOKUP($A276,Table,MATCH(J$4,Curves,0))</f>
        <v>5</v>
      </c>
      <c r="K276" s="119" t="n">
        <f aca="false">J276+$K$7</f>
        <v>5</v>
      </c>
      <c r="L276" s="120" t="n">
        <f aca="false">K276</f>
        <v>5</v>
      </c>
      <c r="M276" s="118" t="n">
        <f aca="false">VLOOKUP($A276,Table,MATCH(M$4,Curves,0))</f>
        <v>5</v>
      </c>
      <c r="N276" s="119" t="n">
        <f aca="false">M276+$N$7</f>
        <v>5</v>
      </c>
      <c r="O276" s="120" t="n">
        <f aca="false">N276</f>
        <v>5</v>
      </c>
      <c r="P276" s="109"/>
      <c r="Q276" s="120" t="n">
        <f aca="false">IF($F$3=1,M276+J276+G276,J276+G276)</f>
        <v>8</v>
      </c>
      <c r="R276" s="120" t="n">
        <f aca="false">IF($F$3=1,N276+K276+H276,K276+H276)</f>
        <v>8</v>
      </c>
      <c r="S276" s="120" t="n">
        <f aca="false">IF($F$3=1,O276+L276+I276,L276+I276)</f>
        <v>6.85</v>
      </c>
      <c r="T276" s="121"/>
      <c r="U276" s="67" t="n">
        <f aca="false">A277-A276</f>
        <v>31</v>
      </c>
      <c r="V276" s="122" t="n">
        <f aca="false">CHOOSE(F$3,A277+24,A276)</f>
        <v>45352</v>
      </c>
      <c r="W276" s="67" t="n">
        <f aca="false">V276-C$3</f>
        <v>-574</v>
      </c>
      <c r="X276" s="118" t="n">
        <f aca="false">VLOOKUP($A276,Table,MATCH(X$4,Curves,0))</f>
        <v>2</v>
      </c>
      <c r="Y276" s="123" t="n">
        <f aca="false">1/(1+CHOOSE(F$3,(X277+($K$3/10000))/2,(X276+($K$3/10000))/2))^(2*W276/365.25)</f>
        <v>8.83391348638038</v>
      </c>
      <c r="Z276" s="67" t="n">
        <f aca="false">IF(AND(mthbeg&lt;=A276,mthend&gt;=A276),1,0)</f>
        <v>0</v>
      </c>
      <c r="AA276" s="67" t="n">
        <f aca="false">U276*Z276</f>
        <v>0</v>
      </c>
      <c r="AC276" s="110" t="n">
        <f aca="false">F276*(H276-I276)</f>
        <v>0</v>
      </c>
      <c r="AD276" s="49"/>
      <c r="AE276" s="124"/>
    </row>
    <row r="277" customFormat="false" ht="12" hidden="false" customHeight="true" outlineLevel="0" collapsed="false">
      <c r="A277" s="115" t="n">
        <f aca="false">EDATE(A276,1)</f>
        <v>45383</v>
      </c>
      <c r="B277" s="116" t="n">
        <f aca="false">'Inputs-Summary'!$B$7</f>
        <v>3017157.21662952</v>
      </c>
      <c r="C277" s="57"/>
      <c r="D277" s="117" t="n">
        <f aca="false">B277+C277</f>
        <v>3017157.21662952</v>
      </c>
      <c r="E277" s="106" t="n">
        <f aca="false">IF(Z277=0,0,IF(AND(Z277=1,$H$3=1),D277*U277,IF($H$3=2,D277,"N/A")))</f>
        <v>0</v>
      </c>
      <c r="F277" s="106" t="n">
        <f aca="false">E277*Y277</f>
        <v>0</v>
      </c>
      <c r="G277" s="118" t="n">
        <f aca="false">VLOOKUP($A277,Table,MATCH(G$4,Curves,0))</f>
        <v>3</v>
      </c>
      <c r="H277" s="119" t="n">
        <f aca="false">G277+$H$7</f>
        <v>3</v>
      </c>
      <c r="I277" s="118" t="n">
        <f aca="false">'Inputs-Summary'!$B$16</f>
        <v>1.85</v>
      </c>
      <c r="J277" s="118" t="n">
        <f aca="false">VLOOKUP($A277,Table,MATCH(J$4,Curves,0))</f>
        <v>5</v>
      </c>
      <c r="K277" s="119" t="n">
        <f aca="false">J277+$K$7</f>
        <v>5</v>
      </c>
      <c r="L277" s="120" t="n">
        <f aca="false">K277</f>
        <v>5</v>
      </c>
      <c r="M277" s="118" t="n">
        <f aca="false">VLOOKUP($A277,Table,MATCH(M$4,Curves,0))</f>
        <v>5</v>
      </c>
      <c r="N277" s="119" t="n">
        <f aca="false">M277+$N$7</f>
        <v>5</v>
      </c>
      <c r="O277" s="120" t="n">
        <f aca="false">N277</f>
        <v>5</v>
      </c>
      <c r="P277" s="109"/>
      <c r="Q277" s="120" t="n">
        <f aca="false">IF($F$3=1,M277+J277+G277,J277+G277)</f>
        <v>8</v>
      </c>
      <c r="R277" s="120" t="n">
        <f aca="false">IF($F$3=1,N277+K277+H277,K277+H277)</f>
        <v>8</v>
      </c>
      <c r="S277" s="120" t="n">
        <f aca="false">IF($F$3=1,O277+L277+I277,L277+I277)</f>
        <v>6.85</v>
      </c>
      <c r="T277" s="121"/>
      <c r="U277" s="67" t="n">
        <f aca="false">A278-A277</f>
        <v>30</v>
      </c>
      <c r="V277" s="122" t="n">
        <f aca="false">CHOOSE(F$3,A278+24,A277)</f>
        <v>45383</v>
      </c>
      <c r="W277" s="67" t="n">
        <f aca="false">V277-C$3</f>
        <v>-543</v>
      </c>
      <c r="X277" s="118" t="n">
        <f aca="false">VLOOKUP($A277,Table,MATCH(X$4,Curves,0))</f>
        <v>2</v>
      </c>
      <c r="Y277" s="123" t="n">
        <f aca="false">1/(1+CHOOSE(F$3,(X278+($K$3/10000))/2,(X277+($K$3/10000))/2))^(2*W277/365.25)</f>
        <v>7.85333780513325</v>
      </c>
      <c r="Z277" s="67" t="n">
        <f aca="false">IF(AND(mthbeg&lt;=A277,mthend&gt;=A277),1,0)</f>
        <v>0</v>
      </c>
      <c r="AA277" s="67" t="n">
        <f aca="false">U277*Z277</f>
        <v>0</v>
      </c>
      <c r="AC277" s="110" t="n">
        <f aca="false">F277*(H277-I277)</f>
        <v>0</v>
      </c>
      <c r="AD277" s="49"/>
      <c r="AE277" s="124"/>
    </row>
    <row r="278" customFormat="false" ht="12" hidden="false" customHeight="true" outlineLevel="0" collapsed="false">
      <c r="A278" s="115" t="n">
        <f aca="false">EDATE(A277,1)</f>
        <v>45413</v>
      </c>
      <c r="B278" s="116" t="n">
        <f aca="false">'Inputs-Summary'!$B$7</f>
        <v>3017157.21662952</v>
      </c>
      <c r="C278" s="57"/>
      <c r="D278" s="117" t="n">
        <f aca="false">B278+C278</f>
        <v>3017157.21662952</v>
      </c>
      <c r="E278" s="106" t="n">
        <f aca="false">IF(Z278=0,0,IF(AND(Z278=1,$H$3=1),D278*U278,IF($H$3=2,D278,"N/A")))</f>
        <v>0</v>
      </c>
      <c r="F278" s="106" t="n">
        <f aca="false">E278*Y278</f>
        <v>0</v>
      </c>
      <c r="G278" s="118" t="n">
        <f aca="false">VLOOKUP($A278,Table,MATCH(G$4,Curves,0))</f>
        <v>3</v>
      </c>
      <c r="H278" s="119" t="n">
        <f aca="false">G278+$H$7</f>
        <v>3</v>
      </c>
      <c r="I278" s="118" t="n">
        <f aca="false">'Inputs-Summary'!$B$16</f>
        <v>1.85</v>
      </c>
      <c r="J278" s="118" t="n">
        <f aca="false">VLOOKUP($A278,Table,MATCH(J$4,Curves,0))</f>
        <v>5</v>
      </c>
      <c r="K278" s="119" t="n">
        <f aca="false">J278+$K$7</f>
        <v>5</v>
      </c>
      <c r="L278" s="120" t="n">
        <f aca="false">K278</f>
        <v>5</v>
      </c>
      <c r="M278" s="118" t="n">
        <f aca="false">VLOOKUP($A278,Table,MATCH(M$4,Curves,0))</f>
        <v>5</v>
      </c>
      <c r="N278" s="119" t="n">
        <f aca="false">M278+$N$7</f>
        <v>5</v>
      </c>
      <c r="O278" s="120" t="n">
        <f aca="false">N278</f>
        <v>5</v>
      </c>
      <c r="P278" s="109"/>
      <c r="Q278" s="120" t="n">
        <f aca="false">IF($F$3=1,M278+J278+G278,J278+G278)</f>
        <v>8</v>
      </c>
      <c r="R278" s="120" t="n">
        <f aca="false">IF($F$3=1,N278+K278+H278,K278+H278)</f>
        <v>8</v>
      </c>
      <c r="S278" s="120" t="n">
        <f aca="false">IF($F$3=1,O278+L278+I278,L278+I278)</f>
        <v>6.85</v>
      </c>
      <c r="T278" s="121"/>
      <c r="U278" s="67" t="n">
        <f aca="false">A279-A278</f>
        <v>31</v>
      </c>
      <c r="V278" s="122" t="n">
        <f aca="false">CHOOSE(F$3,A279+24,A278)</f>
        <v>45413</v>
      </c>
      <c r="W278" s="67" t="n">
        <f aca="false">V278-C$3</f>
        <v>-513</v>
      </c>
      <c r="X278" s="118" t="n">
        <f aca="false">VLOOKUP($A278,Table,MATCH(X$4,Curves,0))</f>
        <v>2</v>
      </c>
      <c r="Y278" s="123" t="n">
        <f aca="false">1/(1+CHOOSE(F$3,(X279+($K$3/10000))/2,(X278+($K$3/10000))/2))^(2*W278/365.25)</f>
        <v>7.0081560885508</v>
      </c>
      <c r="Z278" s="67" t="n">
        <f aca="false">IF(AND(mthbeg&lt;=A278,mthend&gt;=A278),1,0)</f>
        <v>0</v>
      </c>
      <c r="AA278" s="67" t="n">
        <f aca="false">U278*Z278</f>
        <v>0</v>
      </c>
      <c r="AC278" s="110" t="n">
        <f aca="false">F278*(H278-I278)</f>
        <v>0</v>
      </c>
      <c r="AD278" s="49"/>
      <c r="AE278" s="124"/>
    </row>
    <row r="279" customFormat="false" ht="12" hidden="false" customHeight="true" outlineLevel="0" collapsed="false">
      <c r="A279" s="115" t="n">
        <f aca="false">EDATE(A278,1)</f>
        <v>45444</v>
      </c>
      <c r="B279" s="116" t="n">
        <f aca="false">'Inputs-Summary'!$B$7</f>
        <v>3017157.21662952</v>
      </c>
      <c r="C279" s="57"/>
      <c r="D279" s="117" t="n">
        <f aca="false">B279+C279</f>
        <v>3017157.21662952</v>
      </c>
      <c r="E279" s="106" t="n">
        <f aca="false">IF(Z279=0,0,IF(AND(Z279=1,$H$3=1),D279*U279,IF($H$3=2,D279,"N/A")))</f>
        <v>0</v>
      </c>
      <c r="F279" s="106" t="n">
        <f aca="false">E279*Y279</f>
        <v>0</v>
      </c>
      <c r="G279" s="118" t="n">
        <f aca="false">VLOOKUP($A279,Table,MATCH(G$4,Curves,0))</f>
        <v>3</v>
      </c>
      <c r="H279" s="119" t="n">
        <f aca="false">G279+$H$7</f>
        <v>3</v>
      </c>
      <c r="I279" s="118" t="n">
        <f aca="false">'Inputs-Summary'!$B$16</f>
        <v>1.85</v>
      </c>
      <c r="J279" s="118" t="n">
        <f aca="false">VLOOKUP($A279,Table,MATCH(J$4,Curves,0))</f>
        <v>5</v>
      </c>
      <c r="K279" s="119" t="n">
        <f aca="false">J279+$K$7</f>
        <v>5</v>
      </c>
      <c r="L279" s="120" t="n">
        <f aca="false">K279</f>
        <v>5</v>
      </c>
      <c r="M279" s="118" t="n">
        <f aca="false">VLOOKUP($A279,Table,MATCH(M$4,Curves,0))</f>
        <v>5</v>
      </c>
      <c r="N279" s="119" t="n">
        <f aca="false">M279+$N$7</f>
        <v>5</v>
      </c>
      <c r="O279" s="120" t="n">
        <f aca="false">N279</f>
        <v>5</v>
      </c>
      <c r="P279" s="109"/>
      <c r="Q279" s="120" t="n">
        <f aca="false">IF($F$3=1,M279+J279+G279,J279+G279)</f>
        <v>8</v>
      </c>
      <c r="R279" s="120" t="n">
        <f aca="false">IF($F$3=1,N279+K279+H279,K279+H279)</f>
        <v>8</v>
      </c>
      <c r="S279" s="120" t="n">
        <f aca="false">IF($F$3=1,O279+L279+I279,L279+I279)</f>
        <v>6.85</v>
      </c>
      <c r="T279" s="121"/>
      <c r="U279" s="67" t="n">
        <f aca="false">A280-A279</f>
        <v>30</v>
      </c>
      <c r="V279" s="122" t="n">
        <f aca="false">CHOOSE(F$3,A280+24,A279)</f>
        <v>45444</v>
      </c>
      <c r="W279" s="67" t="n">
        <f aca="false">V279-C$3</f>
        <v>-482</v>
      </c>
      <c r="X279" s="118" t="n">
        <f aca="false">VLOOKUP($A279,Table,MATCH(X$4,Curves,0))</f>
        <v>2</v>
      </c>
      <c r="Y279" s="123" t="n">
        <f aca="false">1/(1+CHOOSE(F$3,(X280+($K$3/10000))/2,(X279+($K$3/10000))/2))^(2*W279/365.25)</f>
        <v>6.2302418106476</v>
      </c>
      <c r="Z279" s="67" t="n">
        <f aca="false">IF(AND(mthbeg&lt;=A279,mthend&gt;=A279),1,0)</f>
        <v>0</v>
      </c>
      <c r="AA279" s="67" t="n">
        <f aca="false">U279*Z279</f>
        <v>0</v>
      </c>
      <c r="AC279" s="110" t="n">
        <f aca="false">F279*(H279-I279)</f>
        <v>0</v>
      </c>
      <c r="AD279" s="49"/>
      <c r="AE279" s="124"/>
    </row>
    <row r="280" customFormat="false" ht="12" hidden="false" customHeight="true" outlineLevel="0" collapsed="false">
      <c r="A280" s="115" t="n">
        <f aca="false">EDATE(A279,1)</f>
        <v>45474</v>
      </c>
      <c r="B280" s="116" t="n">
        <f aca="false">'Inputs-Summary'!$B$7</f>
        <v>3017157.21662952</v>
      </c>
      <c r="C280" s="57"/>
      <c r="D280" s="117" t="n">
        <f aca="false">B280+C280</f>
        <v>3017157.21662952</v>
      </c>
      <c r="E280" s="106" t="n">
        <f aca="false">IF(Z280=0,0,IF(AND(Z280=1,$H$3=1),D280*U280,IF($H$3=2,D280,"N/A")))</f>
        <v>0</v>
      </c>
      <c r="F280" s="106" t="n">
        <f aca="false">E280*Y280</f>
        <v>0</v>
      </c>
      <c r="G280" s="118" t="n">
        <f aca="false">VLOOKUP($A280,Table,MATCH(G$4,Curves,0))</f>
        <v>3</v>
      </c>
      <c r="H280" s="119" t="n">
        <f aca="false">G280+$H$7</f>
        <v>3</v>
      </c>
      <c r="I280" s="118" t="n">
        <f aca="false">'Inputs-Summary'!$B$16</f>
        <v>1.85</v>
      </c>
      <c r="J280" s="118" t="n">
        <f aca="false">VLOOKUP($A280,Table,MATCH(J$4,Curves,0))</f>
        <v>5</v>
      </c>
      <c r="K280" s="119" t="n">
        <f aca="false">J280+$K$7</f>
        <v>5</v>
      </c>
      <c r="L280" s="120" t="n">
        <f aca="false">K280</f>
        <v>5</v>
      </c>
      <c r="M280" s="118" t="n">
        <f aca="false">VLOOKUP($A280,Table,MATCH(M$4,Curves,0))</f>
        <v>5</v>
      </c>
      <c r="N280" s="119" t="n">
        <f aca="false">M280+$N$7</f>
        <v>5</v>
      </c>
      <c r="O280" s="120" t="n">
        <f aca="false">N280</f>
        <v>5</v>
      </c>
      <c r="P280" s="109"/>
      <c r="Q280" s="120" t="n">
        <f aca="false">IF($F$3=1,M280+J280+G280,J280+G280)</f>
        <v>8</v>
      </c>
      <c r="R280" s="120" t="n">
        <f aca="false">IF($F$3=1,N280+K280+H280,K280+H280)</f>
        <v>8</v>
      </c>
      <c r="S280" s="120" t="n">
        <f aca="false">IF($F$3=1,O280+L280+I280,L280+I280)</f>
        <v>6.85</v>
      </c>
      <c r="T280" s="121"/>
      <c r="U280" s="67" t="n">
        <f aca="false">A281-A280</f>
        <v>31</v>
      </c>
      <c r="V280" s="122" t="n">
        <f aca="false">CHOOSE(F$3,A281+24,A280)</f>
        <v>45474</v>
      </c>
      <c r="W280" s="67" t="n">
        <f aca="false">V280-C$3</f>
        <v>-452</v>
      </c>
      <c r="X280" s="118" t="n">
        <f aca="false">VLOOKUP($A280,Table,MATCH(X$4,Curves,0))</f>
        <v>2</v>
      </c>
      <c r="Y280" s="123" t="n">
        <f aca="false">1/(1+CHOOSE(F$3,(X281+($K$3/10000))/2,(X280+($K$3/10000))/2))^(2*W280/365.25)</f>
        <v>5.55973882212149</v>
      </c>
      <c r="Z280" s="67" t="n">
        <f aca="false">IF(AND(mthbeg&lt;=A280,mthend&gt;=A280),1,0)</f>
        <v>0</v>
      </c>
      <c r="AA280" s="67" t="n">
        <f aca="false">U280*Z280</f>
        <v>0</v>
      </c>
      <c r="AC280" s="110" t="n">
        <f aca="false">F280*(H280-I280)</f>
        <v>0</v>
      </c>
      <c r="AD280" s="49"/>
      <c r="AE280" s="124"/>
    </row>
    <row r="281" customFormat="false" ht="12" hidden="false" customHeight="true" outlineLevel="0" collapsed="false">
      <c r="A281" s="115" t="n">
        <f aca="false">EDATE(A280,1)</f>
        <v>45505</v>
      </c>
      <c r="B281" s="116" t="n">
        <f aca="false">'Inputs-Summary'!$B$7</f>
        <v>3017157.21662952</v>
      </c>
      <c r="C281" s="57"/>
      <c r="D281" s="117" t="n">
        <f aca="false">B281+C281</f>
        <v>3017157.21662952</v>
      </c>
      <c r="E281" s="106" t="n">
        <f aca="false">IF(Z281=0,0,IF(AND(Z281=1,$H$3=1),D281*U281,IF($H$3=2,D281,"N/A")))</f>
        <v>0</v>
      </c>
      <c r="F281" s="106" t="n">
        <f aca="false">E281*Y281</f>
        <v>0</v>
      </c>
      <c r="G281" s="118" t="n">
        <f aca="false">VLOOKUP($A281,Table,MATCH(G$4,Curves,0))</f>
        <v>3</v>
      </c>
      <c r="H281" s="119" t="n">
        <f aca="false">G281+$H$7</f>
        <v>3</v>
      </c>
      <c r="I281" s="118" t="n">
        <f aca="false">'Inputs-Summary'!$B$16</f>
        <v>1.85</v>
      </c>
      <c r="J281" s="118" t="n">
        <f aca="false">VLOOKUP($A281,Table,MATCH(J$4,Curves,0))</f>
        <v>5</v>
      </c>
      <c r="K281" s="119" t="n">
        <f aca="false">J281+$K$7</f>
        <v>5</v>
      </c>
      <c r="L281" s="120" t="n">
        <f aca="false">K281</f>
        <v>5</v>
      </c>
      <c r="M281" s="118" t="n">
        <f aca="false">VLOOKUP($A281,Table,MATCH(M$4,Curves,0))</f>
        <v>5</v>
      </c>
      <c r="N281" s="119" t="n">
        <f aca="false">M281+$N$7</f>
        <v>5</v>
      </c>
      <c r="O281" s="120" t="n">
        <f aca="false">N281</f>
        <v>5</v>
      </c>
      <c r="P281" s="109"/>
      <c r="Q281" s="120" t="n">
        <f aca="false">IF($F$3=1,M281+J281+G281,J281+G281)</f>
        <v>8</v>
      </c>
      <c r="R281" s="120" t="n">
        <f aca="false">IF($F$3=1,N281+K281+H281,K281+H281)</f>
        <v>8</v>
      </c>
      <c r="S281" s="120" t="n">
        <f aca="false">IF($F$3=1,O281+L281+I281,L281+I281)</f>
        <v>6.85</v>
      </c>
      <c r="T281" s="121"/>
      <c r="U281" s="67" t="n">
        <f aca="false">A282-A281</f>
        <v>31</v>
      </c>
      <c r="V281" s="122" t="n">
        <f aca="false">CHOOSE(F$3,A282+24,A281)</f>
        <v>45505</v>
      </c>
      <c r="W281" s="67" t="n">
        <f aca="false">V281-C$3</f>
        <v>-421</v>
      </c>
      <c r="X281" s="118" t="n">
        <f aca="false">VLOOKUP($A281,Table,MATCH(X$4,Curves,0))</f>
        <v>2</v>
      </c>
      <c r="Y281" s="123" t="n">
        <f aca="false">1/(1+CHOOSE(F$3,(X282+($K$3/10000))/2,(X281+($K$3/10000))/2))^(2*W281/365.25)</f>
        <v>4.94260071097029</v>
      </c>
      <c r="Z281" s="67" t="n">
        <f aca="false">IF(AND(mthbeg&lt;=A281,mthend&gt;=A281),1,0)</f>
        <v>0</v>
      </c>
      <c r="AA281" s="67" t="n">
        <f aca="false">U281*Z281</f>
        <v>0</v>
      </c>
      <c r="AC281" s="110" t="n">
        <f aca="false">F281*(H281-I281)</f>
        <v>0</v>
      </c>
      <c r="AD281" s="49"/>
      <c r="AE281" s="124"/>
    </row>
    <row r="282" customFormat="false" ht="12" hidden="false" customHeight="true" outlineLevel="0" collapsed="false">
      <c r="A282" s="115" t="n">
        <f aca="false">EDATE(A281,1)</f>
        <v>45536</v>
      </c>
      <c r="B282" s="116" t="n">
        <f aca="false">'Inputs-Summary'!$B$7</f>
        <v>3017157.21662952</v>
      </c>
      <c r="C282" s="57"/>
      <c r="D282" s="117" t="n">
        <f aca="false">B282+C282</f>
        <v>3017157.21662952</v>
      </c>
      <c r="E282" s="106" t="n">
        <f aca="false">IF(Z282=0,0,IF(AND(Z282=1,$H$3=1),D282*U282,IF($H$3=2,D282,"N/A")))</f>
        <v>0</v>
      </c>
      <c r="F282" s="106" t="n">
        <f aca="false">E282*Y282</f>
        <v>0</v>
      </c>
      <c r="G282" s="118" t="n">
        <f aca="false">VLOOKUP($A282,Table,MATCH(G$4,Curves,0))</f>
        <v>3</v>
      </c>
      <c r="H282" s="119" t="n">
        <f aca="false">G282+$H$7</f>
        <v>3</v>
      </c>
      <c r="I282" s="118" t="n">
        <f aca="false">'Inputs-Summary'!$B$16</f>
        <v>1.85</v>
      </c>
      <c r="J282" s="118" t="n">
        <f aca="false">VLOOKUP($A282,Table,MATCH(J$4,Curves,0))</f>
        <v>5</v>
      </c>
      <c r="K282" s="119" t="n">
        <f aca="false">J282+$K$7</f>
        <v>5</v>
      </c>
      <c r="L282" s="120" t="n">
        <f aca="false">K282</f>
        <v>5</v>
      </c>
      <c r="M282" s="118" t="n">
        <f aca="false">VLOOKUP($A282,Table,MATCH(M$4,Curves,0))</f>
        <v>5</v>
      </c>
      <c r="N282" s="119" t="n">
        <f aca="false">M282+$N$7</f>
        <v>5</v>
      </c>
      <c r="O282" s="120" t="n">
        <f aca="false">N282</f>
        <v>5</v>
      </c>
      <c r="P282" s="109"/>
      <c r="Q282" s="120" t="n">
        <f aca="false">IF($F$3=1,M282+J282+G282,J282+G282)</f>
        <v>8</v>
      </c>
      <c r="R282" s="120" t="n">
        <f aca="false">IF($F$3=1,N282+K282+H282,K282+H282)</f>
        <v>8</v>
      </c>
      <c r="S282" s="120" t="n">
        <f aca="false">IF($F$3=1,O282+L282+I282,L282+I282)</f>
        <v>6.85</v>
      </c>
      <c r="T282" s="121"/>
      <c r="U282" s="67" t="n">
        <f aca="false">A283-A282</f>
        <v>30</v>
      </c>
      <c r="V282" s="122" t="n">
        <f aca="false">CHOOSE(F$3,A283+24,A282)</f>
        <v>45536</v>
      </c>
      <c r="W282" s="67" t="n">
        <f aca="false">V282-C$3</f>
        <v>-390</v>
      </c>
      <c r="X282" s="118" t="n">
        <f aca="false">VLOOKUP($A282,Table,MATCH(X$4,Curves,0))</f>
        <v>2</v>
      </c>
      <c r="Y282" s="123" t="n">
        <f aca="false">1/(1+CHOOSE(F$3,(X283+($K$3/10000))/2,(X282+($K$3/10000))/2))^(2*W282/365.25)</f>
        <v>4.39396571847637</v>
      </c>
      <c r="Z282" s="67" t="n">
        <f aca="false">IF(AND(mthbeg&lt;=A282,mthend&gt;=A282),1,0)</f>
        <v>0</v>
      </c>
      <c r="AA282" s="67" t="n">
        <f aca="false">U282*Z282</f>
        <v>0</v>
      </c>
      <c r="AC282" s="110" t="n">
        <f aca="false">F282*(H282-I282)</f>
        <v>0</v>
      </c>
      <c r="AD282" s="49"/>
      <c r="AE282" s="124"/>
    </row>
    <row r="283" customFormat="false" ht="12" hidden="false" customHeight="true" outlineLevel="0" collapsed="false">
      <c r="A283" s="115" t="n">
        <f aca="false">EDATE(A282,1)</f>
        <v>45566</v>
      </c>
      <c r="B283" s="116" t="n">
        <f aca="false">'Inputs-Summary'!$B$7</f>
        <v>3017157.21662952</v>
      </c>
      <c r="C283" s="57"/>
      <c r="D283" s="117" t="n">
        <f aca="false">B283+C283</f>
        <v>3017157.21662952</v>
      </c>
      <c r="E283" s="106" t="n">
        <f aca="false">IF(Z283=0,0,IF(AND(Z283=1,$H$3=1),D283*U283,IF($H$3=2,D283,"N/A")))</f>
        <v>0</v>
      </c>
      <c r="F283" s="106" t="n">
        <f aca="false">E283*Y283</f>
        <v>0</v>
      </c>
      <c r="G283" s="118" t="n">
        <f aca="false">VLOOKUP($A283,Table,MATCH(G$4,Curves,0))</f>
        <v>3</v>
      </c>
      <c r="H283" s="119" t="n">
        <f aca="false">G283+$H$7</f>
        <v>3</v>
      </c>
      <c r="I283" s="118" t="n">
        <f aca="false">'Inputs-Summary'!$B$16</f>
        <v>1.85</v>
      </c>
      <c r="J283" s="118" t="n">
        <f aca="false">VLOOKUP($A283,Table,MATCH(J$4,Curves,0))</f>
        <v>5</v>
      </c>
      <c r="K283" s="119" t="n">
        <f aca="false">J283+$K$7</f>
        <v>5</v>
      </c>
      <c r="L283" s="120" t="n">
        <f aca="false">K283</f>
        <v>5</v>
      </c>
      <c r="M283" s="118" t="n">
        <f aca="false">VLOOKUP($A283,Table,MATCH(M$4,Curves,0))</f>
        <v>5</v>
      </c>
      <c r="N283" s="119" t="n">
        <f aca="false">M283+$N$7</f>
        <v>5</v>
      </c>
      <c r="O283" s="120" t="n">
        <f aca="false">N283</f>
        <v>5</v>
      </c>
      <c r="P283" s="109"/>
      <c r="Q283" s="120" t="n">
        <f aca="false">IF($F$3=1,M283+J283+G283,J283+G283)</f>
        <v>8</v>
      </c>
      <c r="R283" s="120" t="n">
        <f aca="false">IF($F$3=1,N283+K283+H283,K283+H283)</f>
        <v>8</v>
      </c>
      <c r="S283" s="120" t="n">
        <f aca="false">IF($F$3=1,O283+L283+I283,L283+I283)</f>
        <v>6.85</v>
      </c>
      <c r="T283" s="121"/>
      <c r="U283" s="67" t="n">
        <f aca="false">A284-A283</f>
        <v>31</v>
      </c>
      <c r="V283" s="122" t="n">
        <f aca="false">CHOOSE(F$3,A284+24,A283)</f>
        <v>45566</v>
      </c>
      <c r="W283" s="67" t="n">
        <f aca="false">V283-C$3</f>
        <v>-360</v>
      </c>
      <c r="X283" s="118" t="n">
        <f aca="false">VLOOKUP($A283,Table,MATCH(X$4,Curves,0))</f>
        <v>2</v>
      </c>
      <c r="Y283" s="123" t="n">
        <f aca="false">1/(1+CHOOSE(F$3,(X284+($K$3/10000))/2,(X283+($K$3/10000))/2))^(2*W283/365.25)</f>
        <v>3.92108404947202</v>
      </c>
      <c r="Z283" s="67" t="n">
        <f aca="false">IF(AND(mthbeg&lt;=A283,mthend&gt;=A283),1,0)</f>
        <v>0</v>
      </c>
      <c r="AA283" s="67" t="n">
        <f aca="false">U283*Z283</f>
        <v>0</v>
      </c>
      <c r="AC283" s="110" t="n">
        <f aca="false">F283*(H283-I283)</f>
        <v>0</v>
      </c>
      <c r="AD283" s="49"/>
      <c r="AE283" s="124"/>
    </row>
    <row r="284" customFormat="false" ht="12" hidden="false" customHeight="true" outlineLevel="0" collapsed="false">
      <c r="A284" s="115" t="n">
        <f aca="false">EDATE(A283,1)</f>
        <v>45597</v>
      </c>
      <c r="B284" s="116" t="n">
        <f aca="false">'Inputs-Summary'!$B$7</f>
        <v>3017157.21662952</v>
      </c>
      <c r="C284" s="57"/>
      <c r="D284" s="117" t="n">
        <f aca="false">B284+C284</f>
        <v>3017157.21662952</v>
      </c>
      <c r="E284" s="106" t="n">
        <f aca="false">IF(Z284=0,0,IF(AND(Z284=1,$H$3=1),D284*U284,IF($H$3=2,D284,"N/A")))</f>
        <v>0</v>
      </c>
      <c r="F284" s="106" t="n">
        <f aca="false">E284*Y284</f>
        <v>0</v>
      </c>
      <c r="G284" s="118" t="n">
        <f aca="false">VLOOKUP($A284,Table,MATCH(G$4,Curves,0))</f>
        <v>3</v>
      </c>
      <c r="H284" s="119" t="n">
        <f aca="false">G284+$H$7</f>
        <v>3</v>
      </c>
      <c r="I284" s="118" t="n">
        <f aca="false">'Inputs-Summary'!$B$16</f>
        <v>1.85</v>
      </c>
      <c r="J284" s="118" t="n">
        <f aca="false">VLOOKUP($A284,Table,MATCH(J$4,Curves,0))</f>
        <v>5</v>
      </c>
      <c r="K284" s="119" t="n">
        <f aca="false">J284+$K$7</f>
        <v>5</v>
      </c>
      <c r="L284" s="120" t="n">
        <f aca="false">K284</f>
        <v>5</v>
      </c>
      <c r="M284" s="118" t="n">
        <f aca="false">VLOOKUP($A284,Table,MATCH(M$4,Curves,0))</f>
        <v>5</v>
      </c>
      <c r="N284" s="119" t="n">
        <f aca="false">M284+$N$7</f>
        <v>5</v>
      </c>
      <c r="O284" s="120" t="n">
        <f aca="false">N284</f>
        <v>5</v>
      </c>
      <c r="P284" s="109"/>
      <c r="Q284" s="120" t="n">
        <f aca="false">IF($F$3=1,M284+J284+G284,J284+G284)</f>
        <v>8</v>
      </c>
      <c r="R284" s="120" t="n">
        <f aca="false">IF($F$3=1,N284+K284+H284,K284+H284)</f>
        <v>8</v>
      </c>
      <c r="S284" s="120" t="n">
        <f aca="false">IF($F$3=1,O284+L284+I284,L284+I284)</f>
        <v>6.85</v>
      </c>
      <c r="T284" s="121"/>
      <c r="U284" s="67" t="n">
        <f aca="false">A285-A284</f>
        <v>30</v>
      </c>
      <c r="V284" s="122" t="n">
        <f aca="false">CHOOSE(F$3,A285+24,A284)</f>
        <v>45597</v>
      </c>
      <c r="W284" s="67" t="n">
        <f aca="false">V284-C$3</f>
        <v>-329</v>
      </c>
      <c r="X284" s="118" t="n">
        <f aca="false">VLOOKUP($A284,Table,MATCH(X$4,Curves,0))</f>
        <v>2</v>
      </c>
      <c r="Y284" s="123" t="n">
        <f aca="false">1/(1+CHOOSE(F$3,(X285+($K$3/10000))/2,(X284+($K$3/10000))/2))^(2*W284/365.25)</f>
        <v>3.48583871126873</v>
      </c>
      <c r="Z284" s="67" t="n">
        <f aca="false">IF(AND(mthbeg&lt;=A284,mthend&gt;=A284),1,0)</f>
        <v>0</v>
      </c>
      <c r="AA284" s="67" t="n">
        <f aca="false">U284*Z284</f>
        <v>0</v>
      </c>
      <c r="AC284" s="110" t="n">
        <f aca="false">F284*(H284-I284)</f>
        <v>0</v>
      </c>
      <c r="AD284" s="49"/>
      <c r="AE284" s="124"/>
    </row>
    <row r="285" customFormat="false" ht="12" hidden="false" customHeight="true" outlineLevel="0" collapsed="false">
      <c r="A285" s="115" t="n">
        <f aca="false">EDATE(A284,1)</f>
        <v>45627</v>
      </c>
      <c r="B285" s="116" t="n">
        <f aca="false">'Inputs-Summary'!$B$7</f>
        <v>3017157.21662952</v>
      </c>
      <c r="C285" s="57"/>
      <c r="D285" s="117" t="n">
        <f aca="false">B285+C285</f>
        <v>3017157.21662952</v>
      </c>
      <c r="E285" s="106" t="n">
        <f aca="false">IF(Z285=0,0,IF(AND(Z285=1,$H$3=1),D285*U285,IF($H$3=2,D285,"N/A")))</f>
        <v>0</v>
      </c>
      <c r="F285" s="106" t="n">
        <f aca="false">E285*Y285</f>
        <v>0</v>
      </c>
      <c r="G285" s="118" t="n">
        <f aca="false">VLOOKUP($A285,Table,MATCH(G$4,Curves,0))</f>
        <v>3</v>
      </c>
      <c r="H285" s="119" t="n">
        <f aca="false">G285+$H$7</f>
        <v>3</v>
      </c>
      <c r="I285" s="118" t="n">
        <f aca="false">'Inputs-Summary'!$B$16</f>
        <v>1.85</v>
      </c>
      <c r="J285" s="118" t="n">
        <f aca="false">VLOOKUP($A285,Table,MATCH(J$4,Curves,0))</f>
        <v>5</v>
      </c>
      <c r="K285" s="119" t="n">
        <f aca="false">J285+$K$7</f>
        <v>5</v>
      </c>
      <c r="L285" s="120" t="n">
        <f aca="false">K285</f>
        <v>5</v>
      </c>
      <c r="M285" s="118" t="n">
        <f aca="false">VLOOKUP($A285,Table,MATCH(M$4,Curves,0))</f>
        <v>5</v>
      </c>
      <c r="N285" s="119" t="n">
        <f aca="false">M285+$N$7</f>
        <v>5</v>
      </c>
      <c r="O285" s="120" t="n">
        <f aca="false">N285</f>
        <v>5</v>
      </c>
      <c r="P285" s="109"/>
      <c r="Q285" s="120" t="n">
        <f aca="false">IF($F$3=1,M285+J285+G285,J285+G285)</f>
        <v>8</v>
      </c>
      <c r="R285" s="120" t="n">
        <f aca="false">IF($F$3=1,N285+K285+H285,K285+H285)</f>
        <v>8</v>
      </c>
      <c r="S285" s="120" t="n">
        <f aca="false">IF($F$3=1,O285+L285+I285,L285+I285)</f>
        <v>6.85</v>
      </c>
      <c r="T285" s="121"/>
      <c r="U285" s="67" t="n">
        <f aca="false">A286-A285</f>
        <v>31</v>
      </c>
      <c r="V285" s="122" t="n">
        <f aca="false">CHOOSE(F$3,A286+24,A285)</f>
        <v>45627</v>
      </c>
      <c r="W285" s="67" t="n">
        <f aca="false">V285-C$3</f>
        <v>-299</v>
      </c>
      <c r="X285" s="118" t="n">
        <f aca="false">VLOOKUP($A285,Table,MATCH(X$4,Curves,0))</f>
        <v>2</v>
      </c>
      <c r="Y285" s="123" t="n">
        <f aca="false">1/(1+CHOOSE(F$3,(X286+($K$3/10000))/2,(X285+($K$3/10000))/2))^(2*W285/365.25)</f>
        <v>3.11069030700756</v>
      </c>
      <c r="Z285" s="67" t="n">
        <f aca="false">IF(AND(mthbeg&lt;=A285,mthend&gt;=A285),1,0)</f>
        <v>0</v>
      </c>
      <c r="AA285" s="67" t="n">
        <f aca="false">U285*Z285</f>
        <v>0</v>
      </c>
      <c r="AC285" s="110" t="n">
        <f aca="false">F285*(H285-I285)</f>
        <v>0</v>
      </c>
      <c r="AD285" s="49"/>
      <c r="AE285" s="124"/>
    </row>
    <row r="286" customFormat="false" ht="12" hidden="false" customHeight="true" outlineLevel="0" collapsed="false">
      <c r="A286" s="115" t="n">
        <f aca="false">EDATE(A285,1)</f>
        <v>45658</v>
      </c>
      <c r="B286" s="116" t="n">
        <f aca="false">'Inputs-Summary'!$B$7</f>
        <v>3017157.21662952</v>
      </c>
      <c r="C286" s="57"/>
      <c r="D286" s="117" t="n">
        <f aca="false">B286+C286</f>
        <v>3017157.21662952</v>
      </c>
      <c r="E286" s="106" t="n">
        <f aca="false">IF(Z286=0,0,IF(AND(Z286=1,$H$3=1),D286*U286,IF($H$3=2,D286,"N/A")))</f>
        <v>0</v>
      </c>
      <c r="F286" s="106" t="n">
        <f aca="false">E286*Y286</f>
        <v>0</v>
      </c>
      <c r="G286" s="118" t="n">
        <f aca="false">VLOOKUP($A286,Table,MATCH(G$4,Curves,0))</f>
        <v>3</v>
      </c>
      <c r="H286" s="119" t="n">
        <f aca="false">G286+$H$7</f>
        <v>3</v>
      </c>
      <c r="I286" s="118" t="n">
        <f aca="false">'Inputs-Summary'!$B$16</f>
        <v>1.85</v>
      </c>
      <c r="J286" s="118" t="n">
        <f aca="false">VLOOKUP($A286,Table,MATCH(J$4,Curves,0))</f>
        <v>5</v>
      </c>
      <c r="K286" s="119" t="n">
        <f aca="false">J286+$K$7</f>
        <v>5</v>
      </c>
      <c r="L286" s="120" t="n">
        <f aca="false">K286</f>
        <v>5</v>
      </c>
      <c r="M286" s="118" t="n">
        <f aca="false">VLOOKUP($A286,Table,MATCH(M$4,Curves,0))</f>
        <v>5</v>
      </c>
      <c r="N286" s="119" t="n">
        <f aca="false">M286+$N$7</f>
        <v>5</v>
      </c>
      <c r="O286" s="120" t="n">
        <f aca="false">N286</f>
        <v>5</v>
      </c>
      <c r="P286" s="109"/>
      <c r="Q286" s="120" t="n">
        <f aca="false">IF($F$3=1,M286+J286+G286,J286+G286)</f>
        <v>8</v>
      </c>
      <c r="R286" s="120" t="n">
        <f aca="false">IF($F$3=1,N286+K286+H286,K286+H286)</f>
        <v>8</v>
      </c>
      <c r="S286" s="120" t="n">
        <f aca="false">IF($F$3=1,O286+L286+I286,L286+I286)</f>
        <v>6.85</v>
      </c>
      <c r="T286" s="121"/>
      <c r="U286" s="67" t="n">
        <f aca="false">A287-A286</f>
        <v>31</v>
      </c>
      <c r="V286" s="122" t="n">
        <f aca="false">CHOOSE(F$3,A287+24,A286)</f>
        <v>45658</v>
      </c>
      <c r="W286" s="67" t="n">
        <f aca="false">V286-C$3</f>
        <v>-268</v>
      </c>
      <c r="X286" s="118" t="n">
        <f aca="false">VLOOKUP($A286,Table,MATCH(X$4,Curves,0))</f>
        <v>2</v>
      </c>
      <c r="Y286" s="123" t="n">
        <f aca="false">1/(1+CHOOSE(F$3,(X287+($K$3/10000))/2,(X286+($K$3/10000))/2))^(2*W286/365.25)</f>
        <v>2.76539970939807</v>
      </c>
      <c r="Z286" s="67" t="n">
        <f aca="false">IF(AND(mthbeg&lt;=A286,mthend&gt;=A286),1,0)</f>
        <v>0</v>
      </c>
      <c r="AA286" s="67" t="n">
        <f aca="false">U286*Z286</f>
        <v>0</v>
      </c>
      <c r="AC286" s="110" t="n">
        <f aca="false">F286*(H286-I286)</f>
        <v>0</v>
      </c>
      <c r="AD286" s="49"/>
      <c r="AE286" s="124"/>
    </row>
    <row r="287" customFormat="false" ht="12" hidden="false" customHeight="true" outlineLevel="0" collapsed="false">
      <c r="A287" s="115" t="n">
        <f aca="false">EDATE(A286,1)</f>
        <v>45689</v>
      </c>
      <c r="B287" s="116" t="n">
        <f aca="false">'Inputs-Summary'!$B$7</f>
        <v>3017157.21662952</v>
      </c>
      <c r="C287" s="57"/>
      <c r="D287" s="117" t="n">
        <f aca="false">B287+C287</f>
        <v>3017157.21662952</v>
      </c>
      <c r="E287" s="106" t="n">
        <f aca="false">IF(Z287=0,0,IF(AND(Z287=1,$H$3=1),D287*U287,IF($H$3=2,D287,"N/A")))</f>
        <v>0</v>
      </c>
      <c r="F287" s="106" t="n">
        <f aca="false">E287*Y287</f>
        <v>0</v>
      </c>
      <c r="G287" s="118" t="n">
        <f aca="false">VLOOKUP($A287,Table,MATCH(G$4,Curves,0))</f>
        <v>3</v>
      </c>
      <c r="H287" s="119" t="n">
        <f aca="false">G287+$H$7</f>
        <v>3</v>
      </c>
      <c r="I287" s="118" t="n">
        <f aca="false">'Inputs-Summary'!$B$16</f>
        <v>1.85</v>
      </c>
      <c r="J287" s="118" t="n">
        <f aca="false">VLOOKUP($A287,Table,MATCH(J$4,Curves,0))</f>
        <v>5</v>
      </c>
      <c r="K287" s="119" t="n">
        <f aca="false">J287+$K$7</f>
        <v>5</v>
      </c>
      <c r="L287" s="120" t="n">
        <f aca="false">K287</f>
        <v>5</v>
      </c>
      <c r="M287" s="118" t="n">
        <f aca="false">VLOOKUP($A287,Table,MATCH(M$4,Curves,0))</f>
        <v>5</v>
      </c>
      <c r="N287" s="119" t="n">
        <f aca="false">M287+$N$7</f>
        <v>5</v>
      </c>
      <c r="O287" s="120" t="n">
        <f aca="false">N287</f>
        <v>5</v>
      </c>
      <c r="P287" s="109"/>
      <c r="Q287" s="120" t="n">
        <f aca="false">IF($F$3=1,M287+J287+G287,J287+G287)</f>
        <v>8</v>
      </c>
      <c r="R287" s="120" t="n">
        <f aca="false">IF($F$3=1,N287+K287+H287,K287+H287)</f>
        <v>8</v>
      </c>
      <c r="S287" s="120" t="n">
        <f aca="false">IF($F$3=1,O287+L287+I287,L287+I287)</f>
        <v>6.85</v>
      </c>
      <c r="T287" s="121"/>
      <c r="U287" s="67" t="n">
        <f aca="false">A288-A287</f>
        <v>28</v>
      </c>
      <c r="V287" s="122" t="n">
        <f aca="false">CHOOSE(F$3,A288+24,A287)</f>
        <v>45689</v>
      </c>
      <c r="W287" s="67" t="n">
        <f aca="false">V287-C$3</f>
        <v>-237</v>
      </c>
      <c r="X287" s="118" t="n">
        <f aca="false">VLOOKUP($A287,Table,MATCH(X$4,Curves,0))</f>
        <v>2</v>
      </c>
      <c r="Y287" s="123" t="n">
        <f aca="false">1/(1+CHOOSE(F$3,(X288+($K$3/10000))/2,(X287+($K$3/10000))/2))^(2*W287/365.25)</f>
        <v>2.45843680919032</v>
      </c>
      <c r="Z287" s="67" t="n">
        <f aca="false">IF(AND(mthbeg&lt;=A287,mthend&gt;=A287),1,0)</f>
        <v>0</v>
      </c>
      <c r="AA287" s="67" t="n">
        <f aca="false">U287*Z287</f>
        <v>0</v>
      </c>
      <c r="AC287" s="110" t="n">
        <f aca="false">F287*(H287-I287)</f>
        <v>0</v>
      </c>
      <c r="AD287" s="49"/>
      <c r="AE287" s="124"/>
    </row>
    <row r="288" customFormat="false" ht="12" hidden="false" customHeight="true" outlineLevel="0" collapsed="false">
      <c r="A288" s="115" t="n">
        <f aca="false">EDATE(A287,1)</f>
        <v>45717</v>
      </c>
      <c r="B288" s="116" t="n">
        <f aca="false">'Inputs-Summary'!$B$7</f>
        <v>3017157.21662952</v>
      </c>
      <c r="C288" s="57"/>
      <c r="D288" s="117" t="n">
        <f aca="false">B288+C288</f>
        <v>3017157.21662952</v>
      </c>
      <c r="E288" s="106" t="n">
        <f aca="false">IF(Z288=0,0,IF(AND(Z288=1,$H$3=1),D288*U288,IF($H$3=2,D288,"N/A")))</f>
        <v>0</v>
      </c>
      <c r="F288" s="106" t="n">
        <f aca="false">E288*Y288</f>
        <v>0</v>
      </c>
      <c r="G288" s="118" t="n">
        <f aca="false">VLOOKUP($A288,Table,MATCH(G$4,Curves,0))</f>
        <v>3</v>
      </c>
      <c r="H288" s="119" t="n">
        <f aca="false">G288+$H$7</f>
        <v>3</v>
      </c>
      <c r="I288" s="118" t="n">
        <f aca="false">'Inputs-Summary'!$B$16</f>
        <v>1.85</v>
      </c>
      <c r="J288" s="118" t="n">
        <f aca="false">VLOOKUP($A288,Table,MATCH(J$4,Curves,0))</f>
        <v>5</v>
      </c>
      <c r="K288" s="119" t="n">
        <f aca="false">J288+$K$7</f>
        <v>5</v>
      </c>
      <c r="L288" s="120" t="n">
        <f aca="false">K288</f>
        <v>5</v>
      </c>
      <c r="M288" s="118" t="n">
        <f aca="false">VLOOKUP($A288,Table,MATCH(M$4,Curves,0))</f>
        <v>5</v>
      </c>
      <c r="N288" s="119" t="n">
        <f aca="false">M288+$N$7</f>
        <v>5</v>
      </c>
      <c r="O288" s="120" t="n">
        <f aca="false">N288</f>
        <v>5</v>
      </c>
      <c r="P288" s="109"/>
      <c r="Q288" s="120" t="n">
        <f aca="false">IF($F$3=1,M288+J288+G288,J288+G288)</f>
        <v>8</v>
      </c>
      <c r="R288" s="120" t="n">
        <f aca="false">IF($F$3=1,N288+K288+H288,K288+H288)</f>
        <v>8</v>
      </c>
      <c r="S288" s="120" t="n">
        <f aca="false">IF($F$3=1,O288+L288+I288,L288+I288)</f>
        <v>6.85</v>
      </c>
      <c r="T288" s="121"/>
      <c r="U288" s="67" t="n">
        <f aca="false">A289-A288</f>
        <v>31</v>
      </c>
      <c r="V288" s="122" t="n">
        <f aca="false">CHOOSE(F$3,A289+24,A288)</f>
        <v>45717</v>
      </c>
      <c r="W288" s="67" t="n">
        <f aca="false">V288-C$3</f>
        <v>-209</v>
      </c>
      <c r="X288" s="118" t="n">
        <f aca="false">VLOOKUP($A288,Table,MATCH(X$4,Curves,0))</f>
        <v>2</v>
      </c>
      <c r="Y288" s="123" t="n">
        <f aca="false">1/(1+CHOOSE(F$3,(X289+($K$3/10000))/2,(X288+($K$3/10000))/2))^(2*W288/365.25)</f>
        <v>2.21057491786376</v>
      </c>
      <c r="Z288" s="67" t="n">
        <f aca="false">IF(AND(mthbeg&lt;=A288,mthend&gt;=A288),1,0)</f>
        <v>0</v>
      </c>
      <c r="AA288" s="67" t="n">
        <f aca="false">U288*Z288</f>
        <v>0</v>
      </c>
      <c r="AC288" s="110" t="n">
        <f aca="false">F288*(H288-I288)</f>
        <v>0</v>
      </c>
      <c r="AD288" s="49"/>
      <c r="AE288" s="124"/>
    </row>
    <row r="289" customFormat="false" ht="12" hidden="false" customHeight="true" outlineLevel="0" collapsed="false">
      <c r="A289" s="115" t="n">
        <f aca="false">EDATE(A288,1)</f>
        <v>45748</v>
      </c>
      <c r="B289" s="116" t="n">
        <f aca="false">'Inputs-Summary'!$B$7</f>
        <v>3017157.21662952</v>
      </c>
      <c r="C289" s="57"/>
      <c r="D289" s="117" t="n">
        <f aca="false">B289+C289</f>
        <v>3017157.21662952</v>
      </c>
      <c r="E289" s="106" t="n">
        <f aca="false">IF(Z289=0,0,IF(AND(Z289=1,$H$3=1),D289*U289,IF($H$3=2,D289,"N/A")))</f>
        <v>0</v>
      </c>
      <c r="F289" s="106" t="n">
        <f aca="false">E289*Y289</f>
        <v>0</v>
      </c>
      <c r="G289" s="118" t="n">
        <f aca="false">VLOOKUP($A289,Table,MATCH(G$4,Curves,0))</f>
        <v>3</v>
      </c>
      <c r="H289" s="119" t="n">
        <f aca="false">G289+$H$7</f>
        <v>3</v>
      </c>
      <c r="I289" s="118" t="n">
        <f aca="false">'Inputs-Summary'!$B$16</f>
        <v>1.85</v>
      </c>
      <c r="J289" s="118" t="n">
        <f aca="false">VLOOKUP($A289,Table,MATCH(J$4,Curves,0))</f>
        <v>5</v>
      </c>
      <c r="K289" s="119" t="n">
        <f aca="false">J289+$K$7</f>
        <v>5</v>
      </c>
      <c r="L289" s="120" t="n">
        <f aca="false">K289</f>
        <v>5</v>
      </c>
      <c r="M289" s="118" t="n">
        <f aca="false">VLOOKUP($A289,Table,MATCH(M$4,Curves,0))</f>
        <v>5</v>
      </c>
      <c r="N289" s="119" t="n">
        <f aca="false">M289+$N$7</f>
        <v>5</v>
      </c>
      <c r="O289" s="120" t="n">
        <f aca="false">N289</f>
        <v>5</v>
      </c>
      <c r="P289" s="109"/>
      <c r="Q289" s="120" t="n">
        <f aca="false">IF($F$3=1,M289+J289+G289,J289+G289)</f>
        <v>8</v>
      </c>
      <c r="R289" s="120" t="n">
        <f aca="false">IF($F$3=1,N289+K289+H289,K289+H289)</f>
        <v>8</v>
      </c>
      <c r="S289" s="120" t="n">
        <f aca="false">IF($F$3=1,O289+L289+I289,L289+I289)</f>
        <v>6.85</v>
      </c>
      <c r="T289" s="121"/>
      <c r="U289" s="67" t="n">
        <f aca="false">A290-A289</f>
        <v>30</v>
      </c>
      <c r="V289" s="122" t="n">
        <f aca="false">CHOOSE(F$3,A290+24,A289)</f>
        <v>45748</v>
      </c>
      <c r="W289" s="67" t="n">
        <f aca="false">V289-C$3</f>
        <v>-178</v>
      </c>
      <c r="X289" s="118" t="n">
        <f aca="false">VLOOKUP($A289,Table,MATCH(X$4,Curves,0))</f>
        <v>2</v>
      </c>
      <c r="Y289" s="123" t="n">
        <f aca="false">1/(1+CHOOSE(F$3,(X290+($K$3/10000))/2,(X289+($K$3/10000))/2))^(2*W289/365.25)</f>
        <v>1.96519827823807</v>
      </c>
      <c r="Z289" s="67" t="n">
        <f aca="false">IF(AND(mthbeg&lt;=A289,mthend&gt;=A289),1,0)</f>
        <v>0</v>
      </c>
      <c r="AA289" s="67" t="n">
        <f aca="false">U289*Z289</f>
        <v>0</v>
      </c>
      <c r="AC289" s="110" t="n">
        <f aca="false">F289*(H289-I289)</f>
        <v>0</v>
      </c>
      <c r="AD289" s="49"/>
      <c r="AE289" s="124"/>
    </row>
    <row r="290" customFormat="false" ht="12" hidden="false" customHeight="true" outlineLevel="0" collapsed="false">
      <c r="A290" s="115" t="n">
        <f aca="false">EDATE(A289,1)</f>
        <v>45778</v>
      </c>
      <c r="B290" s="116" t="n">
        <f aca="false">'Inputs-Summary'!$B$7</f>
        <v>3017157.21662952</v>
      </c>
      <c r="C290" s="57"/>
      <c r="D290" s="117" t="n">
        <f aca="false">B290+C290</f>
        <v>3017157.21662952</v>
      </c>
      <c r="E290" s="106" t="n">
        <f aca="false">IF(Z290=0,0,IF(AND(Z290=1,$H$3=1),D290*U290,IF($H$3=2,D290,"N/A")))</f>
        <v>0</v>
      </c>
      <c r="F290" s="106" t="n">
        <f aca="false">E290*Y290</f>
        <v>0</v>
      </c>
      <c r="G290" s="118" t="n">
        <f aca="false">VLOOKUP($A290,Table,MATCH(G$4,Curves,0))</f>
        <v>3</v>
      </c>
      <c r="H290" s="119" t="n">
        <f aca="false">G290+$H$7</f>
        <v>3</v>
      </c>
      <c r="I290" s="118" t="n">
        <f aca="false">'Inputs-Summary'!$B$16</f>
        <v>1.85</v>
      </c>
      <c r="J290" s="118" t="n">
        <f aca="false">VLOOKUP($A290,Table,MATCH(J$4,Curves,0))</f>
        <v>5</v>
      </c>
      <c r="K290" s="119" t="n">
        <f aca="false">J290+$K$7</f>
        <v>5</v>
      </c>
      <c r="L290" s="120" t="n">
        <f aca="false">K290</f>
        <v>5</v>
      </c>
      <c r="M290" s="118" t="n">
        <f aca="false">VLOOKUP($A290,Table,MATCH(M$4,Curves,0))</f>
        <v>5</v>
      </c>
      <c r="N290" s="119" t="n">
        <f aca="false">M290+$N$7</f>
        <v>5</v>
      </c>
      <c r="O290" s="120" t="n">
        <f aca="false">N290</f>
        <v>5</v>
      </c>
      <c r="P290" s="109"/>
      <c r="Q290" s="120" t="n">
        <f aca="false">IF($F$3=1,M290+J290+G290,J290+G290)</f>
        <v>8</v>
      </c>
      <c r="R290" s="120" t="n">
        <f aca="false">IF($F$3=1,N290+K290+H290,K290+H290)</f>
        <v>8</v>
      </c>
      <c r="S290" s="120" t="n">
        <f aca="false">IF($F$3=1,O290+L290+I290,L290+I290)</f>
        <v>6.85</v>
      </c>
      <c r="T290" s="121"/>
      <c r="U290" s="67" t="n">
        <f aca="false">A291-A290</f>
        <v>31</v>
      </c>
      <c r="V290" s="122" t="n">
        <f aca="false">CHOOSE(F$3,A291+24,A290)</f>
        <v>45778</v>
      </c>
      <c r="W290" s="67" t="n">
        <f aca="false">V290-C$3</f>
        <v>-148</v>
      </c>
      <c r="X290" s="118" t="n">
        <f aca="false">VLOOKUP($A290,Table,MATCH(X$4,Curves,0))</f>
        <v>2</v>
      </c>
      <c r="Y290" s="123" t="n">
        <f aca="false">1/(1+CHOOSE(F$3,(X291+($K$3/10000))/2,(X290+($K$3/10000))/2))^(2*W290/365.25)</f>
        <v>1.7537022627298</v>
      </c>
      <c r="Z290" s="67" t="n">
        <f aca="false">IF(AND(mthbeg&lt;=A290,mthend&gt;=A290),1,0)</f>
        <v>0</v>
      </c>
      <c r="AA290" s="67" t="n">
        <f aca="false">U290*Z290</f>
        <v>0</v>
      </c>
      <c r="AC290" s="110" t="n">
        <f aca="false">F290*(H290-I290)</f>
        <v>0</v>
      </c>
      <c r="AD290" s="49"/>
      <c r="AE290" s="124"/>
    </row>
    <row r="291" customFormat="false" ht="12" hidden="false" customHeight="true" outlineLevel="0" collapsed="false">
      <c r="A291" s="115" t="n">
        <f aca="false">EDATE(A290,1)</f>
        <v>45809</v>
      </c>
      <c r="B291" s="116" t="n">
        <f aca="false">'Inputs-Summary'!$B$7</f>
        <v>3017157.21662952</v>
      </c>
      <c r="C291" s="57"/>
      <c r="D291" s="117" t="n">
        <f aca="false">B291+C291</f>
        <v>3017157.21662952</v>
      </c>
      <c r="E291" s="106" t="n">
        <f aca="false">IF(Z291=0,0,IF(AND(Z291=1,$H$3=1),D291*U291,IF($H$3=2,D291,"N/A")))</f>
        <v>0</v>
      </c>
      <c r="F291" s="106" t="n">
        <f aca="false">E291*Y291</f>
        <v>0</v>
      </c>
      <c r="G291" s="118" t="n">
        <f aca="false">VLOOKUP($A291,Table,MATCH(G$4,Curves,0))</f>
        <v>3</v>
      </c>
      <c r="H291" s="119" t="n">
        <f aca="false">G291+$H$7</f>
        <v>3</v>
      </c>
      <c r="I291" s="118" t="n">
        <f aca="false">'Inputs-Summary'!$B$16</f>
        <v>1.85</v>
      </c>
      <c r="J291" s="118" t="n">
        <f aca="false">VLOOKUP($A291,Table,MATCH(J$4,Curves,0))</f>
        <v>5</v>
      </c>
      <c r="K291" s="119" t="n">
        <f aca="false">J291+$K$7</f>
        <v>5</v>
      </c>
      <c r="L291" s="120" t="n">
        <f aca="false">K291</f>
        <v>5</v>
      </c>
      <c r="M291" s="118" t="n">
        <f aca="false">VLOOKUP($A291,Table,MATCH(M$4,Curves,0))</f>
        <v>5</v>
      </c>
      <c r="N291" s="119" t="n">
        <f aca="false">M291+$N$7</f>
        <v>5</v>
      </c>
      <c r="O291" s="120" t="n">
        <f aca="false">N291</f>
        <v>5</v>
      </c>
      <c r="P291" s="109"/>
      <c r="Q291" s="120" t="n">
        <f aca="false">IF($F$3=1,M291+J291+G291,J291+G291)</f>
        <v>8</v>
      </c>
      <c r="R291" s="120" t="n">
        <f aca="false">IF($F$3=1,N291+K291+H291,K291+H291)</f>
        <v>8</v>
      </c>
      <c r="S291" s="120" t="n">
        <f aca="false">IF($F$3=1,O291+L291+I291,L291+I291)</f>
        <v>6.85</v>
      </c>
      <c r="T291" s="121"/>
      <c r="U291" s="67" t="n">
        <f aca="false">A292-A291</f>
        <v>30</v>
      </c>
      <c r="V291" s="122" t="n">
        <f aca="false">CHOOSE(F$3,A292+24,A291)</f>
        <v>45809</v>
      </c>
      <c r="W291" s="67" t="n">
        <f aca="false">V291-C$3</f>
        <v>-117</v>
      </c>
      <c r="X291" s="118" t="n">
        <f aca="false">VLOOKUP($A291,Table,MATCH(X$4,Curves,0))</f>
        <v>2</v>
      </c>
      <c r="Y291" s="123" t="n">
        <f aca="false">1/(1+CHOOSE(F$3,(X292+($K$3/10000))/2,(X291+($K$3/10000))/2))^(2*W291/365.25)</f>
        <v>1.55903907142369</v>
      </c>
      <c r="Z291" s="67" t="n">
        <f aca="false">IF(AND(mthbeg&lt;=A291,mthend&gt;=A291),1,0)</f>
        <v>0</v>
      </c>
      <c r="AA291" s="67" t="n">
        <f aca="false">U291*Z291</f>
        <v>0</v>
      </c>
      <c r="AC291" s="110" t="n">
        <f aca="false">F291*(H291-I291)</f>
        <v>0</v>
      </c>
      <c r="AD291" s="49"/>
      <c r="AE291" s="124"/>
    </row>
    <row r="292" customFormat="false" ht="12" hidden="false" customHeight="true" outlineLevel="0" collapsed="false">
      <c r="A292" s="115" t="n">
        <f aca="false">EDATE(A291,1)</f>
        <v>45839</v>
      </c>
      <c r="B292" s="116" t="n">
        <f aca="false">'Inputs-Summary'!$B$7</f>
        <v>3017157.21662952</v>
      </c>
      <c r="C292" s="57"/>
      <c r="D292" s="117" t="n">
        <f aca="false">B292+C292</f>
        <v>3017157.21662952</v>
      </c>
      <c r="E292" s="106" t="n">
        <f aca="false">IF(Z292=0,0,IF(AND(Z292=1,$H$3=1),D292*U292,IF($H$3=2,D292,"N/A")))</f>
        <v>0</v>
      </c>
      <c r="F292" s="106" t="n">
        <f aca="false">E292*Y292</f>
        <v>0</v>
      </c>
      <c r="G292" s="118" t="n">
        <f aca="false">VLOOKUP($A292,Table,MATCH(G$4,Curves,0))</f>
        <v>3</v>
      </c>
      <c r="H292" s="119" t="n">
        <f aca="false">G292+$H$7</f>
        <v>3</v>
      </c>
      <c r="I292" s="118" t="n">
        <f aca="false">'Inputs-Summary'!$B$16</f>
        <v>1.85</v>
      </c>
      <c r="J292" s="118" t="n">
        <f aca="false">VLOOKUP($A292,Table,MATCH(J$4,Curves,0))</f>
        <v>5</v>
      </c>
      <c r="K292" s="119" t="n">
        <f aca="false">J292+$K$7</f>
        <v>5</v>
      </c>
      <c r="L292" s="120" t="n">
        <f aca="false">K292</f>
        <v>5</v>
      </c>
      <c r="M292" s="118" t="n">
        <f aca="false">VLOOKUP($A292,Table,MATCH(M$4,Curves,0))</f>
        <v>5</v>
      </c>
      <c r="N292" s="119" t="n">
        <f aca="false">M292+$N$7</f>
        <v>5</v>
      </c>
      <c r="O292" s="120" t="n">
        <f aca="false">N292</f>
        <v>5</v>
      </c>
      <c r="P292" s="109"/>
      <c r="Q292" s="120" t="n">
        <f aca="false">IF($F$3=1,M292+J292+G292,J292+G292)</f>
        <v>8</v>
      </c>
      <c r="R292" s="120" t="n">
        <f aca="false">IF($F$3=1,N292+K292+H292,K292+H292)</f>
        <v>8</v>
      </c>
      <c r="S292" s="120" t="n">
        <f aca="false">IF($F$3=1,O292+L292+I292,L292+I292)</f>
        <v>6.85</v>
      </c>
      <c r="T292" s="121"/>
      <c r="U292" s="67" t="n">
        <f aca="false">A293-A292</f>
        <v>31</v>
      </c>
      <c r="V292" s="122" t="n">
        <f aca="false">CHOOSE(F$3,A293+24,A292)</f>
        <v>45839</v>
      </c>
      <c r="W292" s="67" t="n">
        <f aca="false">V292-C$3</f>
        <v>-87</v>
      </c>
      <c r="X292" s="118" t="n">
        <f aca="false">VLOOKUP($A292,Table,MATCH(X$4,Curves,0))</f>
        <v>2</v>
      </c>
      <c r="Y292" s="123" t="n">
        <f aca="false">1/(1+CHOOSE(F$3,(X293+($K$3/10000))/2,(X292+($K$3/10000))/2))^(2*W292/365.25)</f>
        <v>1.39125419430511</v>
      </c>
      <c r="Z292" s="67" t="n">
        <f aca="false">IF(AND(mthbeg&lt;=A292,mthend&gt;=A292),1,0)</f>
        <v>0</v>
      </c>
      <c r="AA292" s="67" t="n">
        <f aca="false">U292*Z292</f>
        <v>0</v>
      </c>
      <c r="AC292" s="110" t="n">
        <f aca="false">F292*(H292-I292)</f>
        <v>0</v>
      </c>
      <c r="AD292" s="49"/>
      <c r="AE292" s="124"/>
    </row>
    <row r="293" customFormat="false" ht="12" hidden="false" customHeight="true" outlineLevel="0" collapsed="false">
      <c r="A293" s="115" t="n">
        <f aca="false">EDATE(A292,1)</f>
        <v>45870</v>
      </c>
      <c r="B293" s="116" t="n">
        <f aca="false">'Inputs-Summary'!$B$7</f>
        <v>3017157.21662952</v>
      </c>
      <c r="C293" s="57"/>
      <c r="D293" s="117" t="n">
        <f aca="false">B293+C293</f>
        <v>3017157.21662952</v>
      </c>
      <c r="E293" s="106" t="n">
        <f aca="false">IF(Z293=0,0,IF(AND(Z293=1,$H$3=1),D293*U293,IF($H$3=2,D293,"N/A")))</f>
        <v>0</v>
      </c>
      <c r="F293" s="106" t="n">
        <f aca="false">E293*Y293</f>
        <v>0</v>
      </c>
      <c r="G293" s="118" t="n">
        <f aca="false">VLOOKUP($A293,Table,MATCH(G$4,Curves,0))</f>
        <v>3</v>
      </c>
      <c r="H293" s="119" t="n">
        <f aca="false">G293+$H$7</f>
        <v>3</v>
      </c>
      <c r="I293" s="118" t="n">
        <f aca="false">'Inputs-Summary'!$B$16</f>
        <v>1.85</v>
      </c>
      <c r="J293" s="118" t="n">
        <f aca="false">VLOOKUP($A293,Table,MATCH(J$4,Curves,0))</f>
        <v>5</v>
      </c>
      <c r="K293" s="119" t="n">
        <f aca="false">J293+$K$7</f>
        <v>5</v>
      </c>
      <c r="L293" s="120" t="n">
        <f aca="false">K293</f>
        <v>5</v>
      </c>
      <c r="M293" s="118" t="n">
        <f aca="false">VLOOKUP($A293,Table,MATCH(M$4,Curves,0))</f>
        <v>5</v>
      </c>
      <c r="N293" s="119" t="n">
        <f aca="false">M293+$N$7</f>
        <v>5</v>
      </c>
      <c r="O293" s="120" t="n">
        <f aca="false">N293</f>
        <v>5</v>
      </c>
      <c r="P293" s="109"/>
      <c r="Q293" s="120" t="n">
        <f aca="false">IF($F$3=1,M293+J293+G293,J293+G293)</f>
        <v>8</v>
      </c>
      <c r="R293" s="120" t="n">
        <f aca="false">IF($F$3=1,N293+K293+H293,K293+H293)</f>
        <v>8</v>
      </c>
      <c r="S293" s="120" t="n">
        <f aca="false">IF($F$3=1,O293+L293+I293,L293+I293)</f>
        <v>6.85</v>
      </c>
      <c r="T293" s="121"/>
      <c r="U293" s="67" t="n">
        <f aca="false">A294-A293</f>
        <v>31</v>
      </c>
      <c r="V293" s="122" t="n">
        <f aca="false">CHOOSE(F$3,A294+24,A293)</f>
        <v>45870</v>
      </c>
      <c r="W293" s="67" t="n">
        <f aca="false">V293-C$3</f>
        <v>-56</v>
      </c>
      <c r="X293" s="118" t="n">
        <f aca="false">VLOOKUP($A293,Table,MATCH(X$4,Curves,0))</f>
        <v>2</v>
      </c>
      <c r="Y293" s="123" t="n">
        <f aca="false">1/(1+CHOOSE(F$3,(X294+($K$3/10000))/2,(X293+($K$3/10000))/2))^(2*W293/365.25)</f>
        <v>1.23682320157782</v>
      </c>
      <c r="Z293" s="67" t="n">
        <f aca="false">IF(AND(mthbeg&lt;=A293,mthend&gt;=A293),1,0)</f>
        <v>0</v>
      </c>
      <c r="AA293" s="67" t="n">
        <f aca="false">U293*Z293</f>
        <v>0</v>
      </c>
      <c r="AC293" s="110" t="n">
        <f aca="false">F293*(H293-I293)</f>
        <v>0</v>
      </c>
      <c r="AD293" s="49"/>
      <c r="AE293" s="124"/>
    </row>
    <row r="294" customFormat="false" ht="12" hidden="false" customHeight="true" outlineLevel="0" collapsed="false">
      <c r="A294" s="115" t="n">
        <f aca="false">EDATE(A293,1)</f>
        <v>45901</v>
      </c>
      <c r="B294" s="116" t="n">
        <f aca="false">'Inputs-Summary'!$B$7</f>
        <v>3017157.21662952</v>
      </c>
      <c r="C294" s="57"/>
      <c r="D294" s="117" t="n">
        <f aca="false">B294+C294</f>
        <v>3017157.21662952</v>
      </c>
      <c r="E294" s="106" t="n">
        <f aca="false">IF(Z294=0,0,IF(AND(Z294=1,$H$3=1),D294*U294,IF($H$3=2,D294,"N/A")))</f>
        <v>0</v>
      </c>
      <c r="F294" s="106" t="n">
        <f aca="false">E294*Y294</f>
        <v>0</v>
      </c>
      <c r="G294" s="118" t="n">
        <f aca="false">VLOOKUP($A294,Table,MATCH(G$4,Curves,0))</f>
        <v>3</v>
      </c>
      <c r="H294" s="119" t="n">
        <f aca="false">G294+$H$7</f>
        <v>3</v>
      </c>
      <c r="I294" s="118" t="n">
        <f aca="false">'Inputs-Summary'!$B$16</f>
        <v>1.85</v>
      </c>
      <c r="J294" s="118" t="n">
        <f aca="false">VLOOKUP($A294,Table,MATCH(J$4,Curves,0))</f>
        <v>5</v>
      </c>
      <c r="K294" s="119" t="n">
        <f aca="false">J294+$K$7</f>
        <v>5</v>
      </c>
      <c r="L294" s="120" t="n">
        <f aca="false">K294</f>
        <v>5</v>
      </c>
      <c r="M294" s="118" t="n">
        <f aca="false">VLOOKUP($A294,Table,MATCH(M$4,Curves,0))</f>
        <v>5</v>
      </c>
      <c r="N294" s="119" t="n">
        <f aca="false">M294+$N$7</f>
        <v>5</v>
      </c>
      <c r="O294" s="120" t="n">
        <f aca="false">N294</f>
        <v>5</v>
      </c>
      <c r="P294" s="109"/>
      <c r="Q294" s="120" t="n">
        <f aca="false">IF($F$3=1,M294+J294+G294,J294+G294)</f>
        <v>8</v>
      </c>
      <c r="R294" s="120" t="n">
        <f aca="false">IF($F$3=1,N294+K294+H294,K294+H294)</f>
        <v>8</v>
      </c>
      <c r="S294" s="120" t="n">
        <f aca="false">IF($F$3=1,O294+L294+I294,L294+I294)</f>
        <v>6.85</v>
      </c>
      <c r="T294" s="121"/>
      <c r="U294" s="67" t="n">
        <f aca="false">A295-A294</f>
        <v>30</v>
      </c>
      <c r="V294" s="122" t="n">
        <f aca="false">CHOOSE(F$3,A295+24,A294)</f>
        <v>45901</v>
      </c>
      <c r="W294" s="67" t="n">
        <f aca="false">V294-C$3</f>
        <v>-25</v>
      </c>
      <c r="X294" s="118" t="n">
        <f aca="false">VLOOKUP($A294,Table,MATCH(X$4,Curves,0))</f>
        <v>2</v>
      </c>
      <c r="Y294" s="123" t="n">
        <f aca="false">1/(1+CHOOSE(F$3,(X295+($K$3/10000))/2,(X294+($K$3/10000))/2))^(2*W294/365.25)</f>
        <v>1.09953424631023</v>
      </c>
      <c r="Z294" s="67" t="n">
        <f aca="false">IF(AND(mthbeg&lt;=A294,mthend&gt;=A294),1,0)</f>
        <v>0</v>
      </c>
      <c r="AA294" s="67" t="n">
        <f aca="false">U294*Z294</f>
        <v>0</v>
      </c>
      <c r="AC294" s="110" t="n">
        <f aca="false">F294*(H294-I294)</f>
        <v>0</v>
      </c>
      <c r="AD294" s="49"/>
      <c r="AE294" s="124"/>
    </row>
    <row r="295" customFormat="false" ht="12" hidden="false" customHeight="true" outlineLevel="0" collapsed="false">
      <c r="A295" s="115" t="n">
        <f aca="false">EDATE(A294,1)</f>
        <v>45931</v>
      </c>
      <c r="B295" s="116" t="n">
        <f aca="false">'Inputs-Summary'!$B$7</f>
        <v>3017157.21662952</v>
      </c>
      <c r="C295" s="57"/>
      <c r="D295" s="117" t="n">
        <f aca="false">B295+C295</f>
        <v>3017157.21662952</v>
      </c>
      <c r="E295" s="106" t="n">
        <f aca="false">IF(Z295=0,0,IF(AND(Z295=1,$H$3=1),D295*U295,IF($H$3=2,D295,"N/A")))</f>
        <v>0</v>
      </c>
      <c r="F295" s="106" t="n">
        <f aca="false">E295*Y295</f>
        <v>0</v>
      </c>
      <c r="G295" s="118" t="n">
        <f aca="false">VLOOKUP($A295,Table,MATCH(G$4,Curves,0))</f>
        <v>3</v>
      </c>
      <c r="H295" s="119" t="n">
        <f aca="false">G295+$H$7</f>
        <v>3</v>
      </c>
      <c r="I295" s="118" t="n">
        <f aca="false">'Inputs-Summary'!$B$16</f>
        <v>1.85</v>
      </c>
      <c r="J295" s="118" t="n">
        <f aca="false">VLOOKUP($A295,Table,MATCH(J$4,Curves,0))</f>
        <v>5</v>
      </c>
      <c r="K295" s="119" t="n">
        <f aca="false">J295+$K$7</f>
        <v>5</v>
      </c>
      <c r="L295" s="120" t="n">
        <f aca="false">K295</f>
        <v>5</v>
      </c>
      <c r="M295" s="118" t="n">
        <f aca="false">VLOOKUP($A295,Table,MATCH(M$4,Curves,0))</f>
        <v>5</v>
      </c>
      <c r="N295" s="119" t="n">
        <f aca="false">M295+$N$7</f>
        <v>5</v>
      </c>
      <c r="O295" s="120" t="n">
        <f aca="false">N295</f>
        <v>5</v>
      </c>
      <c r="P295" s="109"/>
      <c r="Q295" s="120" t="n">
        <f aca="false">IF($F$3=1,M295+J295+G295,J295+G295)</f>
        <v>8</v>
      </c>
      <c r="R295" s="120" t="n">
        <f aca="false">IF($F$3=1,N295+K295+H295,K295+H295)</f>
        <v>8</v>
      </c>
      <c r="S295" s="120" t="n">
        <f aca="false">IF($F$3=1,O295+L295+I295,L295+I295)</f>
        <v>6.85</v>
      </c>
      <c r="T295" s="121"/>
      <c r="U295" s="67" t="n">
        <f aca="false">A296-A295</f>
        <v>31</v>
      </c>
      <c r="V295" s="122" t="n">
        <f aca="false">CHOOSE(F$3,A296+24,A295)</f>
        <v>45931</v>
      </c>
      <c r="W295" s="67" t="n">
        <f aca="false">V295-C$3</f>
        <v>5</v>
      </c>
      <c r="X295" s="118" t="n">
        <f aca="false">VLOOKUP($A295,Table,MATCH(X$4,Curves,0))</f>
        <v>2</v>
      </c>
      <c r="Y295" s="123" t="n">
        <f aca="false">1/(1+CHOOSE(F$3,(X296+($K$3/10000))/2,(X295+($K$3/10000))/2))^(2*W295/365.25)</f>
        <v>0.981201600396257</v>
      </c>
      <c r="Z295" s="67" t="n">
        <f aca="false">IF(AND(mthbeg&lt;=A295,mthend&gt;=A295),1,0)</f>
        <v>0</v>
      </c>
      <c r="AA295" s="67" t="n">
        <f aca="false">U295*Z295</f>
        <v>0</v>
      </c>
      <c r="AC295" s="110" t="n">
        <f aca="false">F295*(H295-I295)</f>
        <v>0</v>
      </c>
      <c r="AD295" s="49"/>
      <c r="AE295" s="124"/>
    </row>
    <row r="296" customFormat="false" ht="12" hidden="false" customHeight="true" outlineLevel="0" collapsed="false">
      <c r="A296" s="115" t="n">
        <f aca="false">EDATE(A295,1)</f>
        <v>45962</v>
      </c>
      <c r="B296" s="116" t="n">
        <f aca="false">'Inputs-Summary'!$B$7</f>
        <v>3017157.21662952</v>
      </c>
      <c r="C296" s="57"/>
      <c r="D296" s="117" t="n">
        <f aca="false">B296+C296</f>
        <v>3017157.21662952</v>
      </c>
      <c r="E296" s="106" t="n">
        <f aca="false">IF(Z296=0,0,IF(AND(Z296=1,$H$3=1),D296*U296,IF($H$3=2,D296,"N/A")))</f>
        <v>0</v>
      </c>
      <c r="F296" s="106" t="n">
        <f aca="false">E296*Y296</f>
        <v>0</v>
      </c>
      <c r="G296" s="118" t="n">
        <f aca="false">VLOOKUP($A296,Table,MATCH(G$4,Curves,0))</f>
        <v>3</v>
      </c>
      <c r="H296" s="119" t="n">
        <f aca="false">G296+$H$7</f>
        <v>3</v>
      </c>
      <c r="I296" s="118" t="n">
        <f aca="false">'Inputs-Summary'!$B$16</f>
        <v>1.85</v>
      </c>
      <c r="J296" s="118" t="n">
        <f aca="false">VLOOKUP($A296,Table,MATCH(J$4,Curves,0))</f>
        <v>5</v>
      </c>
      <c r="K296" s="119" t="n">
        <f aca="false">J296+$K$7</f>
        <v>5</v>
      </c>
      <c r="L296" s="120" t="n">
        <f aca="false">K296</f>
        <v>5</v>
      </c>
      <c r="M296" s="118" t="n">
        <f aca="false">VLOOKUP($A296,Table,MATCH(M$4,Curves,0))</f>
        <v>5</v>
      </c>
      <c r="N296" s="119" t="n">
        <f aca="false">M296+$N$7</f>
        <v>5</v>
      </c>
      <c r="O296" s="120" t="n">
        <f aca="false">N296</f>
        <v>5</v>
      </c>
      <c r="P296" s="109"/>
      <c r="Q296" s="120" t="n">
        <f aca="false">IF($F$3=1,M296+J296+G296,J296+G296)</f>
        <v>8</v>
      </c>
      <c r="R296" s="120" t="n">
        <f aca="false">IF($F$3=1,N296+K296+H296,K296+H296)</f>
        <v>8</v>
      </c>
      <c r="S296" s="120" t="n">
        <f aca="false">IF($F$3=1,O296+L296+I296,L296+I296)</f>
        <v>6.85</v>
      </c>
      <c r="T296" s="121"/>
      <c r="U296" s="67" t="n">
        <f aca="false">A297-A296</f>
        <v>30</v>
      </c>
      <c r="V296" s="122" t="n">
        <f aca="false">CHOOSE(F$3,A297+24,A296)</f>
        <v>45962</v>
      </c>
      <c r="W296" s="67" t="n">
        <f aca="false">V296-C$3</f>
        <v>36</v>
      </c>
      <c r="X296" s="118" t="n">
        <f aca="false">VLOOKUP($A296,Table,MATCH(X$4,Curves,0))</f>
        <v>2</v>
      </c>
      <c r="Y296" s="123" t="n">
        <f aca="false">1/(1+CHOOSE(F$3,(X297+($K$3/10000))/2,(X296+($K$3/10000))/2))^(2*W296/365.25)</f>
        <v>0.872286969385583</v>
      </c>
      <c r="Z296" s="67" t="n">
        <f aca="false">IF(AND(mthbeg&lt;=A296,mthend&gt;=A296),1,0)</f>
        <v>0</v>
      </c>
      <c r="AA296" s="67" t="n">
        <f aca="false">U296*Z296</f>
        <v>0</v>
      </c>
      <c r="AC296" s="110" t="n">
        <f aca="false">F296*(H296-I296)</f>
        <v>0</v>
      </c>
      <c r="AD296" s="49"/>
      <c r="AE296" s="124"/>
    </row>
    <row r="297" customFormat="false" ht="12" hidden="false" customHeight="true" outlineLevel="0" collapsed="false">
      <c r="A297" s="115" t="n">
        <f aca="false">EDATE(A296,1)</f>
        <v>45992</v>
      </c>
      <c r="B297" s="116" t="n">
        <f aca="false">'Inputs-Summary'!$B$7</f>
        <v>3017157.21662952</v>
      </c>
      <c r="C297" s="57"/>
      <c r="D297" s="117" t="n">
        <f aca="false">B297+C297</f>
        <v>3017157.21662952</v>
      </c>
      <c r="E297" s="106" t="n">
        <f aca="false">IF(Z297=0,0,IF(AND(Z297=1,$H$3=1),D297*U297,IF($H$3=2,D297,"N/A")))</f>
        <v>0</v>
      </c>
      <c r="F297" s="106" t="n">
        <f aca="false">E297*Y297</f>
        <v>0</v>
      </c>
      <c r="G297" s="118" t="n">
        <f aca="false">VLOOKUP($A297,Table,MATCH(G$4,Curves,0))</f>
        <v>3</v>
      </c>
      <c r="H297" s="119" t="n">
        <f aca="false">G297+$H$7</f>
        <v>3</v>
      </c>
      <c r="I297" s="118" t="n">
        <f aca="false">'Inputs-Summary'!$B$16</f>
        <v>1.85</v>
      </c>
      <c r="J297" s="118" t="n">
        <f aca="false">VLOOKUP($A297,Table,MATCH(J$4,Curves,0))</f>
        <v>5</v>
      </c>
      <c r="K297" s="119" t="n">
        <f aca="false">J297+$K$7</f>
        <v>5</v>
      </c>
      <c r="L297" s="120" t="n">
        <f aca="false">K297</f>
        <v>5</v>
      </c>
      <c r="M297" s="118" t="n">
        <f aca="false">VLOOKUP($A297,Table,MATCH(M$4,Curves,0))</f>
        <v>5</v>
      </c>
      <c r="N297" s="119" t="n">
        <f aca="false">M297+$N$7</f>
        <v>5</v>
      </c>
      <c r="O297" s="120" t="n">
        <f aca="false">N297</f>
        <v>5</v>
      </c>
      <c r="P297" s="109"/>
      <c r="Q297" s="120" t="n">
        <f aca="false">IF($F$3=1,M297+J297+G297,J297+G297)</f>
        <v>8</v>
      </c>
      <c r="R297" s="120" t="n">
        <f aca="false">IF($F$3=1,N297+K297+H297,K297+H297)</f>
        <v>8</v>
      </c>
      <c r="S297" s="120" t="n">
        <f aca="false">IF($F$3=1,O297+L297+I297,L297+I297)</f>
        <v>6.85</v>
      </c>
      <c r="T297" s="121"/>
      <c r="U297" s="67" t="n">
        <f aca="false">A298-A297</f>
        <v>31</v>
      </c>
      <c r="V297" s="122" t="n">
        <f aca="false">CHOOSE(F$3,A298+24,A297)</f>
        <v>45992</v>
      </c>
      <c r="W297" s="67" t="n">
        <f aca="false">V297-C$3</f>
        <v>66</v>
      </c>
      <c r="X297" s="118" t="n">
        <f aca="false">VLOOKUP($A297,Table,MATCH(X$4,Curves,0))</f>
        <v>2</v>
      </c>
      <c r="Y297" s="123" t="n">
        <f aca="false">1/(1+CHOOSE(F$3,(X298+($K$3/10000))/2,(X297+($K$3/10000))/2))^(2*W297/365.25)</f>
        <v>0.778410834622104</v>
      </c>
      <c r="Z297" s="67" t="n">
        <f aca="false">IF(AND(mthbeg&lt;=A297,mthend&gt;=A297),1,0)</f>
        <v>0</v>
      </c>
      <c r="AA297" s="67" t="n">
        <f aca="false">U297*Z297</f>
        <v>0</v>
      </c>
      <c r="AC297" s="110" t="n">
        <f aca="false">F297*(H297-I297)</f>
        <v>0</v>
      </c>
      <c r="AD297" s="49"/>
      <c r="AE297" s="124"/>
    </row>
    <row r="298" customFormat="false" ht="12" hidden="false" customHeight="true" outlineLevel="0" collapsed="false">
      <c r="A298" s="115" t="n">
        <f aca="false">EDATE(A297,1)</f>
        <v>46023</v>
      </c>
      <c r="B298" s="116" t="n">
        <f aca="false">'Inputs-Summary'!$B$7</f>
        <v>3017157.21662952</v>
      </c>
      <c r="C298" s="57"/>
      <c r="D298" s="117" t="n">
        <f aca="false">B298+C298</f>
        <v>3017157.21662952</v>
      </c>
      <c r="E298" s="106" t="n">
        <f aca="false">IF(Z298=0,0,IF(AND(Z298=1,$H$3=1),D298*U298,IF($H$3=2,D298,"N/A")))</f>
        <v>0</v>
      </c>
      <c r="F298" s="106" t="n">
        <f aca="false">E298*Y298</f>
        <v>0</v>
      </c>
      <c r="G298" s="118" t="n">
        <f aca="false">VLOOKUP($A298,Table,MATCH(G$4,Curves,0))</f>
        <v>3</v>
      </c>
      <c r="H298" s="119" t="n">
        <f aca="false">G298+$H$7</f>
        <v>3</v>
      </c>
      <c r="I298" s="118" t="n">
        <f aca="false">'Inputs-Summary'!$B$16</f>
        <v>1.85</v>
      </c>
      <c r="J298" s="118" t="n">
        <f aca="false">VLOOKUP($A298,Table,MATCH(J$4,Curves,0))</f>
        <v>5</v>
      </c>
      <c r="K298" s="119" t="n">
        <f aca="false">J298+$K$7</f>
        <v>5</v>
      </c>
      <c r="L298" s="120" t="n">
        <f aca="false">K298</f>
        <v>5</v>
      </c>
      <c r="M298" s="118" t="n">
        <f aca="false">VLOOKUP($A298,Table,MATCH(M$4,Curves,0))</f>
        <v>5</v>
      </c>
      <c r="N298" s="119" t="n">
        <f aca="false">M298+$N$7</f>
        <v>5</v>
      </c>
      <c r="O298" s="120" t="n">
        <f aca="false">N298</f>
        <v>5</v>
      </c>
      <c r="P298" s="109"/>
      <c r="Q298" s="120" t="n">
        <f aca="false">IF($F$3=1,M298+J298+G298,J298+G298)</f>
        <v>8</v>
      </c>
      <c r="R298" s="120" t="n">
        <f aca="false">IF($F$3=1,N298+K298+H298,K298+H298)</f>
        <v>8</v>
      </c>
      <c r="S298" s="120" t="n">
        <f aca="false">IF($F$3=1,O298+L298+I298,L298+I298)</f>
        <v>6.85</v>
      </c>
      <c r="T298" s="121"/>
      <c r="U298" s="67" t="n">
        <f aca="false">A299-A298</f>
        <v>31</v>
      </c>
      <c r="V298" s="122" t="n">
        <f aca="false">CHOOSE(F$3,A299+24,A298)</f>
        <v>46023</v>
      </c>
      <c r="W298" s="67" t="n">
        <f aca="false">V298-C$3</f>
        <v>97</v>
      </c>
      <c r="X298" s="118" t="n">
        <f aca="false">VLOOKUP($A298,Table,MATCH(X$4,Curves,0))</f>
        <v>2</v>
      </c>
      <c r="Y298" s="123" t="n">
        <f aca="false">1/(1+CHOOSE(F$3,(X299+($K$3/10000))/2,(X298+($K$3/10000))/2))^(2*W298/365.25)</f>
        <v>0.692006237653103</v>
      </c>
      <c r="Z298" s="67" t="n">
        <f aca="false">IF(AND(mthbeg&lt;=A298,mthend&gt;=A298),1,0)</f>
        <v>0</v>
      </c>
      <c r="AA298" s="67" t="n">
        <f aca="false">U298*Z298</f>
        <v>0</v>
      </c>
      <c r="AC298" s="110" t="n">
        <f aca="false">F298*(H298-I298)</f>
        <v>0</v>
      </c>
      <c r="AD298" s="49"/>
      <c r="AE298" s="124"/>
    </row>
    <row r="299" customFormat="false" ht="12" hidden="false" customHeight="true" outlineLevel="0" collapsed="false">
      <c r="A299" s="115" t="n">
        <f aca="false">EDATE(A298,1)</f>
        <v>46054</v>
      </c>
      <c r="B299" s="116" t="n">
        <f aca="false">'Inputs-Summary'!$B$7</f>
        <v>3017157.21662952</v>
      </c>
      <c r="C299" s="57"/>
      <c r="D299" s="117" t="n">
        <f aca="false">B299+C299</f>
        <v>3017157.21662952</v>
      </c>
      <c r="E299" s="106" t="n">
        <f aca="false">IF(Z299=0,0,IF(AND(Z299=1,$H$3=1),D299*U299,IF($H$3=2,D299,"N/A")))</f>
        <v>0</v>
      </c>
      <c r="F299" s="106" t="n">
        <f aca="false">E299*Y299</f>
        <v>0</v>
      </c>
      <c r="G299" s="118" t="n">
        <f aca="false">VLOOKUP($A299,Table,MATCH(G$4,Curves,0))</f>
        <v>3</v>
      </c>
      <c r="H299" s="119" t="n">
        <f aca="false">G299+$H$7</f>
        <v>3</v>
      </c>
      <c r="I299" s="118" t="n">
        <f aca="false">'Inputs-Summary'!$B$16</f>
        <v>1.85</v>
      </c>
      <c r="J299" s="118" t="n">
        <f aca="false">VLOOKUP($A299,Table,MATCH(J$4,Curves,0))</f>
        <v>5</v>
      </c>
      <c r="K299" s="119" t="n">
        <f aca="false">J299+$K$7</f>
        <v>5</v>
      </c>
      <c r="L299" s="120" t="n">
        <f aca="false">K299</f>
        <v>5</v>
      </c>
      <c r="M299" s="118" t="n">
        <f aca="false">VLOOKUP($A299,Table,MATCH(M$4,Curves,0))</f>
        <v>5</v>
      </c>
      <c r="N299" s="119" t="n">
        <f aca="false">M299+$N$7</f>
        <v>5</v>
      </c>
      <c r="O299" s="120" t="n">
        <f aca="false">N299</f>
        <v>5</v>
      </c>
      <c r="P299" s="109"/>
      <c r="Q299" s="120" t="n">
        <f aca="false">IF($F$3=1,M299+J299+G299,J299+G299)</f>
        <v>8</v>
      </c>
      <c r="R299" s="120" t="n">
        <f aca="false">IF($F$3=1,N299+K299+H299,K299+H299)</f>
        <v>8</v>
      </c>
      <c r="S299" s="120" t="n">
        <f aca="false">IF($F$3=1,O299+L299+I299,L299+I299)</f>
        <v>6.85</v>
      </c>
      <c r="T299" s="121"/>
      <c r="U299" s="67" t="n">
        <f aca="false">A300-A299</f>
        <v>28</v>
      </c>
      <c r="V299" s="122" t="n">
        <f aca="false">CHOOSE(F$3,A300+24,A299)</f>
        <v>46054</v>
      </c>
      <c r="W299" s="67" t="n">
        <f aca="false">V299-C$3</f>
        <v>128</v>
      </c>
      <c r="X299" s="118" t="n">
        <f aca="false">VLOOKUP($A299,Table,MATCH(X$4,Curves,0))</f>
        <v>2</v>
      </c>
      <c r="Y299" s="123" t="n">
        <f aca="false">1/(1+CHOOSE(F$3,(X300+($K$3/10000))/2,(X299+($K$3/10000))/2))^(2*W299/365.25)</f>
        <v>0.615192661319112</v>
      </c>
      <c r="Z299" s="67" t="n">
        <f aca="false">IF(AND(mthbeg&lt;=A299,mthend&gt;=A299),1,0)</f>
        <v>0</v>
      </c>
      <c r="AA299" s="67" t="n">
        <f aca="false">U299*Z299</f>
        <v>0</v>
      </c>
      <c r="AC299" s="110" t="n">
        <f aca="false">F299*(H299-I299)</f>
        <v>0</v>
      </c>
      <c r="AD299" s="49"/>
      <c r="AE299" s="124"/>
    </row>
    <row r="300" customFormat="false" ht="12" hidden="false" customHeight="true" outlineLevel="0" collapsed="false">
      <c r="A300" s="115" t="n">
        <f aca="false">EDATE(A299,1)</f>
        <v>46082</v>
      </c>
      <c r="B300" s="116" t="n">
        <f aca="false">'Inputs-Summary'!$B$7</f>
        <v>3017157.21662952</v>
      </c>
      <c r="C300" s="57"/>
      <c r="D300" s="117" t="n">
        <f aca="false">B300+C300</f>
        <v>3017157.21662952</v>
      </c>
      <c r="E300" s="106" t="n">
        <f aca="false">IF(Z300=0,0,IF(AND(Z300=1,$H$3=1),D300*U300,IF($H$3=2,D300,"N/A")))</f>
        <v>0</v>
      </c>
      <c r="F300" s="106" t="n">
        <f aca="false">E300*Y300</f>
        <v>0</v>
      </c>
      <c r="G300" s="118" t="n">
        <f aca="false">VLOOKUP($A300,Table,MATCH(G$4,Curves,0))</f>
        <v>3</v>
      </c>
      <c r="H300" s="119" t="n">
        <f aca="false">G300+$H$7</f>
        <v>3</v>
      </c>
      <c r="I300" s="118" t="n">
        <f aca="false">'Inputs-Summary'!$B$16</f>
        <v>1.85</v>
      </c>
      <c r="J300" s="118" t="n">
        <f aca="false">VLOOKUP($A300,Table,MATCH(J$4,Curves,0))</f>
        <v>5</v>
      </c>
      <c r="K300" s="119" t="n">
        <f aca="false">J300+$K$7</f>
        <v>5</v>
      </c>
      <c r="L300" s="120" t="n">
        <f aca="false">K300</f>
        <v>5</v>
      </c>
      <c r="M300" s="118" t="n">
        <f aca="false">VLOOKUP($A300,Table,MATCH(M$4,Curves,0))</f>
        <v>5</v>
      </c>
      <c r="N300" s="119" t="n">
        <f aca="false">M300+$N$7</f>
        <v>5</v>
      </c>
      <c r="O300" s="120" t="n">
        <f aca="false">N300</f>
        <v>5</v>
      </c>
      <c r="P300" s="109"/>
      <c r="Q300" s="120" t="n">
        <f aca="false">IF($F$3=1,M300+J300+G300,J300+G300)</f>
        <v>8</v>
      </c>
      <c r="R300" s="120" t="n">
        <f aca="false">IF($F$3=1,N300+K300+H300,K300+H300)</f>
        <v>8</v>
      </c>
      <c r="S300" s="120" t="n">
        <f aca="false">IF($F$3=1,O300+L300+I300,L300+I300)</f>
        <v>6.85</v>
      </c>
      <c r="T300" s="121"/>
      <c r="U300" s="67" t="n">
        <f aca="false">A301-A300</f>
        <v>31</v>
      </c>
      <c r="V300" s="122" t="n">
        <f aca="false">CHOOSE(F$3,A301+24,A300)</f>
        <v>46082</v>
      </c>
      <c r="W300" s="67" t="n">
        <f aca="false">V300-C$3</f>
        <v>156</v>
      </c>
      <c r="X300" s="118" t="n">
        <f aca="false">VLOOKUP($A300,Table,MATCH(X$4,Curves,0))</f>
        <v>2</v>
      </c>
      <c r="Y300" s="123" t="n">
        <f aca="false">1/(1+CHOOSE(F$3,(X301+($K$3/10000))/2,(X300+($K$3/10000))/2))^(2*W300/365.25)</f>
        <v>0.553168363604907</v>
      </c>
      <c r="Z300" s="67" t="n">
        <f aca="false">IF(AND(mthbeg&lt;=A300,mthend&gt;=A300),1,0)</f>
        <v>0</v>
      </c>
      <c r="AA300" s="67" t="n">
        <f aca="false">U300*Z300</f>
        <v>0</v>
      </c>
      <c r="AC300" s="110" t="n">
        <f aca="false">F300*(H300-I300)</f>
        <v>0</v>
      </c>
      <c r="AD300" s="49"/>
      <c r="AE300" s="124"/>
    </row>
    <row r="301" customFormat="false" ht="12" hidden="false" customHeight="true" outlineLevel="0" collapsed="false">
      <c r="A301" s="115" t="n">
        <f aca="false">EDATE(A300,1)</f>
        <v>46113</v>
      </c>
      <c r="B301" s="116" t="n">
        <f aca="false">'Inputs-Summary'!$B$7</f>
        <v>3017157.21662952</v>
      </c>
      <c r="C301" s="57"/>
      <c r="D301" s="117" t="n">
        <f aca="false">B301+C301</f>
        <v>3017157.21662952</v>
      </c>
      <c r="E301" s="106" t="n">
        <f aca="false">IF(Z301=0,0,IF(AND(Z301=1,$H$3=1),D301*U301,IF($H$3=2,D301,"N/A")))</f>
        <v>0</v>
      </c>
      <c r="F301" s="106" t="n">
        <f aca="false">E301*Y301</f>
        <v>0</v>
      </c>
      <c r="G301" s="118" t="n">
        <f aca="false">VLOOKUP($A301,Table,MATCH(G$4,Curves,0))</f>
        <v>3</v>
      </c>
      <c r="H301" s="119" t="n">
        <f aca="false">G301+$H$7</f>
        <v>3</v>
      </c>
      <c r="I301" s="118" t="n">
        <f aca="false">'Inputs-Summary'!$B$16</f>
        <v>1.85</v>
      </c>
      <c r="J301" s="118" t="n">
        <f aca="false">VLOOKUP($A301,Table,MATCH(J$4,Curves,0))</f>
        <v>5</v>
      </c>
      <c r="K301" s="119" t="n">
        <f aca="false">J301+$K$7</f>
        <v>5</v>
      </c>
      <c r="L301" s="120" t="n">
        <f aca="false">K301</f>
        <v>5</v>
      </c>
      <c r="M301" s="118" t="n">
        <f aca="false">VLOOKUP($A301,Table,MATCH(M$4,Curves,0))</f>
        <v>5</v>
      </c>
      <c r="N301" s="119" t="n">
        <f aca="false">M301+$N$7</f>
        <v>5</v>
      </c>
      <c r="O301" s="120" t="n">
        <f aca="false">N301</f>
        <v>5</v>
      </c>
      <c r="P301" s="109"/>
      <c r="Q301" s="120" t="n">
        <f aca="false">IF($F$3=1,M301+J301+G301,J301+G301)</f>
        <v>8</v>
      </c>
      <c r="R301" s="120" t="n">
        <f aca="false">IF($F$3=1,N301+K301+H301,K301+H301)</f>
        <v>8</v>
      </c>
      <c r="S301" s="120" t="n">
        <f aca="false">IF($F$3=1,O301+L301+I301,L301+I301)</f>
        <v>6.85</v>
      </c>
      <c r="T301" s="121"/>
      <c r="U301" s="67" t="n">
        <f aca="false">A302-A301</f>
        <v>30</v>
      </c>
      <c r="V301" s="122" t="n">
        <f aca="false">CHOOSE(F$3,A302+24,A301)</f>
        <v>46113</v>
      </c>
      <c r="W301" s="67" t="n">
        <f aca="false">V301-C$3</f>
        <v>187</v>
      </c>
      <c r="X301" s="118" t="n">
        <f aca="false">VLOOKUP($A301,Table,MATCH(X$4,Curves,0))</f>
        <v>2</v>
      </c>
      <c r="Y301" s="123" t="n">
        <f aca="false">1/(1+CHOOSE(F$3,(X302+($K$3/10000))/2,(X301+($K$3/10000))/2))^(2*W301/365.25)</f>
        <v>0.491765968638903</v>
      </c>
      <c r="Z301" s="67" t="n">
        <f aca="false">IF(AND(mthbeg&lt;=A301,mthend&gt;=A301),1,0)</f>
        <v>0</v>
      </c>
      <c r="AA301" s="67" t="n">
        <f aca="false">U301*Z301</f>
        <v>0</v>
      </c>
      <c r="AC301" s="110" t="n">
        <f aca="false">F301*(H301-I301)</f>
        <v>0</v>
      </c>
      <c r="AD301" s="49"/>
      <c r="AE301" s="124"/>
    </row>
    <row r="302" customFormat="false" ht="12" hidden="false" customHeight="true" outlineLevel="0" collapsed="false">
      <c r="A302" s="115" t="n">
        <f aca="false">EDATE(A301,1)</f>
        <v>46143</v>
      </c>
      <c r="B302" s="116" t="n">
        <f aca="false">'Inputs-Summary'!$B$7</f>
        <v>3017157.21662952</v>
      </c>
      <c r="C302" s="57"/>
      <c r="D302" s="117" t="n">
        <f aca="false">B302+C302</f>
        <v>3017157.21662952</v>
      </c>
      <c r="E302" s="106" t="n">
        <f aca="false">IF(Z302=0,0,IF(AND(Z302=1,$H$3=1),D302*U302,IF($H$3=2,D302,"N/A")))</f>
        <v>0</v>
      </c>
      <c r="F302" s="106" t="n">
        <f aca="false">E302*Y302</f>
        <v>0</v>
      </c>
      <c r="G302" s="118" t="n">
        <f aca="false">VLOOKUP($A302,Table,MATCH(G$4,Curves,0))</f>
        <v>3</v>
      </c>
      <c r="H302" s="119" t="n">
        <f aca="false">G302+$H$7</f>
        <v>3</v>
      </c>
      <c r="I302" s="118" t="n">
        <f aca="false">'Inputs-Summary'!$B$16</f>
        <v>1.85</v>
      </c>
      <c r="J302" s="118" t="n">
        <f aca="false">VLOOKUP($A302,Table,MATCH(J$4,Curves,0))</f>
        <v>5</v>
      </c>
      <c r="K302" s="119" t="n">
        <f aca="false">J302+$K$7</f>
        <v>5</v>
      </c>
      <c r="L302" s="120" t="n">
        <f aca="false">K302</f>
        <v>5</v>
      </c>
      <c r="M302" s="118" t="n">
        <f aca="false">VLOOKUP($A302,Table,MATCH(M$4,Curves,0))</f>
        <v>5</v>
      </c>
      <c r="N302" s="119" t="n">
        <f aca="false">M302+$N$7</f>
        <v>5</v>
      </c>
      <c r="O302" s="120" t="n">
        <f aca="false">N302</f>
        <v>5</v>
      </c>
      <c r="P302" s="109"/>
      <c r="Q302" s="120" t="n">
        <f aca="false">IF($F$3=1,M302+J302+G302,J302+G302)</f>
        <v>8</v>
      </c>
      <c r="R302" s="120" t="n">
        <f aca="false">IF($F$3=1,N302+K302+H302,K302+H302)</f>
        <v>8</v>
      </c>
      <c r="S302" s="120" t="n">
        <f aca="false">IF($F$3=1,O302+L302+I302,L302+I302)</f>
        <v>6.85</v>
      </c>
      <c r="T302" s="121"/>
      <c r="U302" s="67" t="n">
        <f aca="false">A303-A302</f>
        <v>31</v>
      </c>
      <c r="V302" s="122" t="n">
        <f aca="false">CHOOSE(F$3,A303+24,A302)</f>
        <v>46143</v>
      </c>
      <c r="W302" s="67" t="n">
        <f aca="false">V302-C$3</f>
        <v>217</v>
      </c>
      <c r="X302" s="118" t="n">
        <f aca="false">VLOOKUP($A302,Table,MATCH(X$4,Curves,0))</f>
        <v>2</v>
      </c>
      <c r="Y302" s="123" t="n">
        <f aca="false">1/(1+CHOOSE(F$3,(X303+($K$3/10000))/2,(X302+($K$3/10000))/2))^(2*W302/365.25)</f>
        <v>0.438841770566156</v>
      </c>
      <c r="Z302" s="67" t="n">
        <f aca="false">IF(AND(mthbeg&lt;=A302,mthend&gt;=A302),1,0)</f>
        <v>0</v>
      </c>
      <c r="AA302" s="67" t="n">
        <f aca="false">U302*Z302</f>
        <v>0</v>
      </c>
      <c r="AC302" s="110" t="n">
        <f aca="false">F302*(H302-I302)</f>
        <v>0</v>
      </c>
      <c r="AD302" s="49"/>
      <c r="AE302" s="124"/>
    </row>
    <row r="303" customFormat="false" ht="12" hidden="false" customHeight="true" outlineLevel="0" collapsed="false">
      <c r="A303" s="115" t="n">
        <f aca="false">EDATE(A302,1)</f>
        <v>46174</v>
      </c>
      <c r="B303" s="116" t="n">
        <f aca="false">'Inputs-Summary'!$B$7</f>
        <v>3017157.21662952</v>
      </c>
      <c r="C303" s="57"/>
      <c r="D303" s="117" t="n">
        <f aca="false">B303+C303</f>
        <v>3017157.21662952</v>
      </c>
      <c r="E303" s="106" t="n">
        <f aca="false">IF(Z303=0,0,IF(AND(Z303=1,$H$3=1),D303*U303,IF($H$3=2,D303,"N/A")))</f>
        <v>0</v>
      </c>
      <c r="F303" s="106" t="n">
        <f aca="false">E303*Y303</f>
        <v>0</v>
      </c>
      <c r="G303" s="118" t="n">
        <f aca="false">VLOOKUP($A303,Table,MATCH(G$4,Curves,0))</f>
        <v>3</v>
      </c>
      <c r="H303" s="119" t="n">
        <f aca="false">G303+$H$7</f>
        <v>3</v>
      </c>
      <c r="I303" s="118" t="n">
        <f aca="false">'Inputs-Summary'!$B$16</f>
        <v>1.85</v>
      </c>
      <c r="J303" s="118" t="n">
        <f aca="false">VLOOKUP($A303,Table,MATCH(J$4,Curves,0))</f>
        <v>5</v>
      </c>
      <c r="K303" s="119" t="n">
        <f aca="false">J303+$K$7</f>
        <v>5</v>
      </c>
      <c r="L303" s="120" t="n">
        <f aca="false">K303</f>
        <v>5</v>
      </c>
      <c r="M303" s="118" t="n">
        <f aca="false">VLOOKUP($A303,Table,MATCH(M$4,Curves,0))</f>
        <v>5</v>
      </c>
      <c r="N303" s="119" t="n">
        <f aca="false">M303+$N$7</f>
        <v>5</v>
      </c>
      <c r="O303" s="120" t="n">
        <f aca="false">N303</f>
        <v>5</v>
      </c>
      <c r="P303" s="109"/>
      <c r="Q303" s="120" t="n">
        <f aca="false">IF($F$3=1,M303+J303+G303,J303+G303)</f>
        <v>8</v>
      </c>
      <c r="R303" s="120" t="n">
        <f aca="false">IF($F$3=1,N303+K303+H303,K303+H303)</f>
        <v>8</v>
      </c>
      <c r="S303" s="120" t="n">
        <f aca="false">IF($F$3=1,O303+L303+I303,L303+I303)</f>
        <v>6.85</v>
      </c>
      <c r="T303" s="121"/>
      <c r="U303" s="67" t="n">
        <f aca="false">A304-A303</f>
        <v>30</v>
      </c>
      <c r="V303" s="122" t="n">
        <f aca="false">CHOOSE(F$3,A304+24,A303)</f>
        <v>46174</v>
      </c>
      <c r="W303" s="67" t="n">
        <f aca="false">V303-C$3</f>
        <v>248</v>
      </c>
      <c r="X303" s="118" t="n">
        <f aca="false">VLOOKUP($A303,Table,MATCH(X$4,Curves,0))</f>
        <v>2</v>
      </c>
      <c r="Y303" s="123" t="n">
        <f aca="false">1/(1+CHOOSE(F$3,(X304+($K$3/10000))/2,(X303+($K$3/10000))/2))^(2*W303/365.25)</f>
        <v>0.390129773465885</v>
      </c>
      <c r="Z303" s="67" t="n">
        <f aca="false">IF(AND(mthbeg&lt;=A303,mthend&gt;=A303),1,0)</f>
        <v>0</v>
      </c>
      <c r="AA303" s="67" t="n">
        <f aca="false">U303*Z303</f>
        <v>0</v>
      </c>
      <c r="AC303" s="110" t="n">
        <f aca="false">F303*(H303-I303)</f>
        <v>0</v>
      </c>
      <c r="AD303" s="49"/>
      <c r="AE303" s="124"/>
    </row>
    <row r="304" customFormat="false" ht="12" hidden="false" customHeight="true" outlineLevel="0" collapsed="false">
      <c r="A304" s="115" t="n">
        <f aca="false">EDATE(A303,1)</f>
        <v>46204</v>
      </c>
      <c r="B304" s="116" t="n">
        <f aca="false">'Inputs-Summary'!$B$7</f>
        <v>3017157.21662952</v>
      </c>
      <c r="C304" s="57"/>
      <c r="D304" s="117" t="n">
        <f aca="false">B304+C304</f>
        <v>3017157.21662952</v>
      </c>
      <c r="E304" s="106" t="n">
        <f aca="false">IF(Z304=0,0,IF(AND(Z304=1,$H$3=1),D304*U304,IF($H$3=2,D304,"N/A")))</f>
        <v>0</v>
      </c>
      <c r="F304" s="106" t="n">
        <f aca="false">E304*Y304</f>
        <v>0</v>
      </c>
      <c r="G304" s="118" t="n">
        <f aca="false">VLOOKUP($A304,Table,MATCH(G$4,Curves,0))</f>
        <v>3</v>
      </c>
      <c r="H304" s="119" t="n">
        <f aca="false">G304+$H$7</f>
        <v>3</v>
      </c>
      <c r="I304" s="118" t="n">
        <f aca="false">'Inputs-Summary'!$B$16</f>
        <v>1.85</v>
      </c>
      <c r="J304" s="118" t="n">
        <f aca="false">VLOOKUP($A304,Table,MATCH(J$4,Curves,0))</f>
        <v>5</v>
      </c>
      <c r="K304" s="119" t="n">
        <f aca="false">J304+$K$7</f>
        <v>5</v>
      </c>
      <c r="L304" s="120" t="n">
        <f aca="false">K304</f>
        <v>5</v>
      </c>
      <c r="M304" s="118" t="n">
        <f aca="false">VLOOKUP($A304,Table,MATCH(M$4,Curves,0))</f>
        <v>5</v>
      </c>
      <c r="N304" s="119" t="n">
        <f aca="false">M304+$N$7</f>
        <v>5</v>
      </c>
      <c r="O304" s="120" t="n">
        <f aca="false">N304</f>
        <v>5</v>
      </c>
      <c r="P304" s="109"/>
      <c r="Q304" s="120" t="n">
        <f aca="false">IF($F$3=1,M304+J304+G304,J304+G304)</f>
        <v>8</v>
      </c>
      <c r="R304" s="120" t="n">
        <f aca="false">IF($F$3=1,N304+K304+H304,K304+H304)</f>
        <v>8</v>
      </c>
      <c r="S304" s="120" t="n">
        <f aca="false">IF($F$3=1,O304+L304+I304,L304+I304)</f>
        <v>6.85</v>
      </c>
      <c r="T304" s="121"/>
      <c r="U304" s="67" t="n">
        <f aca="false">A305-A304</f>
        <v>31</v>
      </c>
      <c r="V304" s="122" t="n">
        <f aca="false">CHOOSE(F$3,A305+24,A304)</f>
        <v>46204</v>
      </c>
      <c r="W304" s="67" t="n">
        <f aca="false">V304-C$3</f>
        <v>278</v>
      </c>
      <c r="X304" s="118" t="n">
        <f aca="false">VLOOKUP($A304,Table,MATCH(X$4,Curves,0))</f>
        <v>2</v>
      </c>
      <c r="Y304" s="123" t="n">
        <f aca="false">1/(1+CHOOSE(F$3,(X305+($K$3/10000))/2,(X304+($K$3/10000))/2))^(2*W304/365.25)</f>
        <v>0.348143733923272</v>
      </c>
      <c r="Z304" s="67" t="n">
        <f aca="false">IF(AND(mthbeg&lt;=A304,mthend&gt;=A304),1,0)</f>
        <v>0</v>
      </c>
      <c r="AA304" s="67" t="n">
        <f aca="false">U304*Z304</f>
        <v>0</v>
      </c>
      <c r="AC304" s="110" t="n">
        <f aca="false">F304*(H304-I304)</f>
        <v>0</v>
      </c>
      <c r="AD304" s="49"/>
      <c r="AE304" s="124"/>
    </row>
    <row r="305" customFormat="false" ht="12" hidden="false" customHeight="true" outlineLevel="0" collapsed="false">
      <c r="A305" s="115" t="n">
        <f aca="false">EDATE(A304,1)</f>
        <v>46235</v>
      </c>
      <c r="B305" s="116" t="n">
        <f aca="false">'Inputs-Summary'!$B$7</f>
        <v>3017157.21662952</v>
      </c>
      <c r="C305" s="57"/>
      <c r="D305" s="117" t="n">
        <f aca="false">B305+C305</f>
        <v>3017157.21662952</v>
      </c>
      <c r="E305" s="106" t="n">
        <f aca="false">IF(Z305=0,0,IF(AND(Z305=1,$H$3=1),D305*U305,IF($H$3=2,D305,"N/A")))</f>
        <v>0</v>
      </c>
      <c r="F305" s="106" t="n">
        <f aca="false">E305*Y305</f>
        <v>0</v>
      </c>
      <c r="G305" s="118" t="n">
        <f aca="false">VLOOKUP($A305,Table,MATCH(G$4,Curves,0))</f>
        <v>3</v>
      </c>
      <c r="H305" s="119" t="n">
        <f aca="false">G305+$H$7</f>
        <v>3</v>
      </c>
      <c r="I305" s="118" t="n">
        <f aca="false">'Inputs-Summary'!$B$16</f>
        <v>1.85</v>
      </c>
      <c r="J305" s="118" t="n">
        <f aca="false">VLOOKUP($A305,Table,MATCH(J$4,Curves,0))</f>
        <v>5</v>
      </c>
      <c r="K305" s="119" t="n">
        <f aca="false">J305+$K$7</f>
        <v>5</v>
      </c>
      <c r="L305" s="120" t="n">
        <f aca="false">K305</f>
        <v>5</v>
      </c>
      <c r="M305" s="118" t="n">
        <f aca="false">VLOOKUP($A305,Table,MATCH(M$4,Curves,0))</f>
        <v>5</v>
      </c>
      <c r="N305" s="119" t="n">
        <f aca="false">M305+$N$7</f>
        <v>5</v>
      </c>
      <c r="O305" s="120" t="n">
        <f aca="false">N305</f>
        <v>5</v>
      </c>
      <c r="P305" s="109"/>
      <c r="Q305" s="120" t="n">
        <f aca="false">IF($F$3=1,M305+J305+G305,J305+G305)</f>
        <v>8</v>
      </c>
      <c r="R305" s="120" t="n">
        <f aca="false">IF($F$3=1,N305+K305+H305,K305+H305)</f>
        <v>8</v>
      </c>
      <c r="S305" s="120" t="n">
        <f aca="false">IF($F$3=1,O305+L305+I305,L305+I305)</f>
        <v>6.85</v>
      </c>
      <c r="T305" s="121"/>
      <c r="U305" s="67" t="n">
        <f aca="false">A306-A305</f>
        <v>31</v>
      </c>
      <c r="V305" s="122" t="n">
        <f aca="false">CHOOSE(F$3,A306+24,A305)</f>
        <v>46235</v>
      </c>
      <c r="W305" s="67" t="n">
        <f aca="false">V305-C$3</f>
        <v>309</v>
      </c>
      <c r="X305" s="118" t="n">
        <f aca="false">VLOOKUP($A305,Table,MATCH(X$4,Curves,0))</f>
        <v>2</v>
      </c>
      <c r="Y305" s="123" t="n">
        <f aca="false">1/(1+CHOOSE(F$3,(X306+($K$3/10000))/2,(X305+($K$3/10000))/2))^(2*W305/365.25)</f>
        <v>0.309499334746163</v>
      </c>
      <c r="Z305" s="67" t="n">
        <f aca="false">IF(AND(mthbeg&lt;=A305,mthend&gt;=A305),1,0)</f>
        <v>0</v>
      </c>
      <c r="AA305" s="67" t="n">
        <f aca="false">U305*Z305</f>
        <v>0</v>
      </c>
      <c r="AC305" s="110" t="n">
        <f aca="false">F305*(H305-I305)</f>
        <v>0</v>
      </c>
      <c r="AD305" s="49"/>
      <c r="AE305" s="124"/>
    </row>
    <row r="306" customFormat="false" ht="12" hidden="false" customHeight="true" outlineLevel="0" collapsed="false">
      <c r="A306" s="115" t="n">
        <f aca="false">EDATE(A305,1)</f>
        <v>46266</v>
      </c>
      <c r="B306" s="116" t="n">
        <f aca="false">'Inputs-Summary'!$B$7</f>
        <v>3017157.21662952</v>
      </c>
      <c r="C306" s="57"/>
      <c r="D306" s="117" t="n">
        <f aca="false">B306+C306</f>
        <v>3017157.21662952</v>
      </c>
      <c r="E306" s="106" t="n">
        <f aca="false">IF(Z306=0,0,IF(AND(Z306=1,$H$3=1),D306*U306,IF($H$3=2,D306,"N/A")))</f>
        <v>0</v>
      </c>
      <c r="F306" s="106" t="n">
        <f aca="false">E306*Y306</f>
        <v>0</v>
      </c>
      <c r="G306" s="118" t="n">
        <f aca="false">VLOOKUP($A306,Table,MATCH(G$4,Curves,0))</f>
        <v>3</v>
      </c>
      <c r="H306" s="119" t="n">
        <f aca="false">G306+$H$7</f>
        <v>3</v>
      </c>
      <c r="I306" s="118" t="n">
        <f aca="false">'Inputs-Summary'!$B$16</f>
        <v>1.85</v>
      </c>
      <c r="J306" s="118" t="n">
        <f aca="false">VLOOKUP($A306,Table,MATCH(J$4,Curves,0))</f>
        <v>5</v>
      </c>
      <c r="K306" s="119" t="n">
        <f aca="false">J306+$K$7</f>
        <v>5</v>
      </c>
      <c r="L306" s="120" t="n">
        <f aca="false">K306</f>
        <v>5</v>
      </c>
      <c r="M306" s="118" t="n">
        <f aca="false">VLOOKUP($A306,Table,MATCH(M$4,Curves,0))</f>
        <v>5</v>
      </c>
      <c r="N306" s="119" t="n">
        <f aca="false">M306+$N$7</f>
        <v>5</v>
      </c>
      <c r="O306" s="120" t="n">
        <f aca="false">N306</f>
        <v>5</v>
      </c>
      <c r="P306" s="109"/>
      <c r="Q306" s="120" t="n">
        <f aca="false">IF($F$3=1,M306+J306+G306,J306+G306)</f>
        <v>8</v>
      </c>
      <c r="R306" s="120" t="n">
        <f aca="false">IF($F$3=1,N306+K306+H306,K306+H306)</f>
        <v>8</v>
      </c>
      <c r="S306" s="120" t="n">
        <f aca="false">IF($F$3=1,O306+L306+I306,L306+I306)</f>
        <v>6.85</v>
      </c>
      <c r="T306" s="121"/>
      <c r="U306" s="67" t="n">
        <f aca="false">A307-A306</f>
        <v>30</v>
      </c>
      <c r="V306" s="122" t="n">
        <f aca="false">CHOOSE(F$3,A307+24,A306)</f>
        <v>46266</v>
      </c>
      <c r="W306" s="67" t="n">
        <f aca="false">V306-C$3</f>
        <v>340</v>
      </c>
      <c r="X306" s="118" t="n">
        <f aca="false">VLOOKUP($A306,Table,MATCH(X$4,Curves,0))</f>
        <v>2</v>
      </c>
      <c r="Y306" s="123" t="n">
        <f aca="false">1/(1+CHOOSE(F$3,(X307+($K$3/10000))/2,(X306+($K$3/10000))/2))^(2*W306/365.25)</f>
        <v>0.275144513241271</v>
      </c>
      <c r="Z306" s="67" t="n">
        <f aca="false">IF(AND(mthbeg&lt;=A306,mthend&gt;=A306),1,0)</f>
        <v>0</v>
      </c>
      <c r="AA306" s="67" t="n">
        <f aca="false">U306*Z306</f>
        <v>0</v>
      </c>
      <c r="AC306" s="110" t="n">
        <f aca="false">F306*(H306-I306)</f>
        <v>0</v>
      </c>
      <c r="AD306" s="49"/>
      <c r="AE306" s="124"/>
    </row>
    <row r="307" customFormat="false" ht="12" hidden="false" customHeight="true" outlineLevel="0" collapsed="false">
      <c r="A307" s="115" t="n">
        <f aca="false">EDATE(A306,1)</f>
        <v>46296</v>
      </c>
      <c r="B307" s="116" t="n">
        <f aca="false">'Inputs-Summary'!$B$7</f>
        <v>3017157.21662952</v>
      </c>
      <c r="C307" s="57"/>
      <c r="D307" s="117" t="n">
        <f aca="false">B307+C307</f>
        <v>3017157.21662952</v>
      </c>
      <c r="E307" s="106" t="n">
        <f aca="false">IF(Z307=0,0,IF(AND(Z307=1,$H$3=1),D307*U307,IF($H$3=2,D307,"N/A")))</f>
        <v>0</v>
      </c>
      <c r="F307" s="106" t="n">
        <f aca="false">E307*Y307</f>
        <v>0</v>
      </c>
      <c r="G307" s="118" t="n">
        <f aca="false">VLOOKUP($A307,Table,MATCH(G$4,Curves,0))</f>
        <v>3</v>
      </c>
      <c r="H307" s="119" t="n">
        <f aca="false">G307+$H$7</f>
        <v>3</v>
      </c>
      <c r="I307" s="118" t="n">
        <f aca="false">'Inputs-Summary'!$B$16</f>
        <v>1.85</v>
      </c>
      <c r="J307" s="118" t="n">
        <f aca="false">VLOOKUP($A307,Table,MATCH(J$4,Curves,0))</f>
        <v>5</v>
      </c>
      <c r="K307" s="119" t="n">
        <f aca="false">J307+$K$7</f>
        <v>5</v>
      </c>
      <c r="L307" s="120" t="n">
        <f aca="false">K307</f>
        <v>5</v>
      </c>
      <c r="M307" s="118" t="n">
        <f aca="false">VLOOKUP($A307,Table,MATCH(M$4,Curves,0))</f>
        <v>5</v>
      </c>
      <c r="N307" s="119" t="n">
        <f aca="false">M307+$N$7</f>
        <v>5</v>
      </c>
      <c r="O307" s="120" t="n">
        <f aca="false">N307</f>
        <v>5</v>
      </c>
      <c r="P307" s="109"/>
      <c r="Q307" s="120" t="n">
        <f aca="false">IF($F$3=1,M307+J307+G307,J307+G307)</f>
        <v>8</v>
      </c>
      <c r="R307" s="120" t="n">
        <f aca="false">IF($F$3=1,N307+K307+H307,K307+H307)</f>
        <v>8</v>
      </c>
      <c r="S307" s="120" t="n">
        <f aca="false">IF($F$3=1,O307+L307+I307,L307+I307)</f>
        <v>6.85</v>
      </c>
      <c r="T307" s="121"/>
      <c r="U307" s="67" t="n">
        <f aca="false">A308-A307</f>
        <v>31</v>
      </c>
      <c r="V307" s="122" t="n">
        <f aca="false">CHOOSE(F$3,A308+24,A307)</f>
        <v>46296</v>
      </c>
      <c r="W307" s="67" t="n">
        <f aca="false">V307-C$3</f>
        <v>370</v>
      </c>
      <c r="X307" s="118" t="n">
        <f aca="false">VLOOKUP($A307,Table,MATCH(X$4,Curves,0))</f>
        <v>2</v>
      </c>
      <c r="Y307" s="123" t="n">
        <f aca="false">1/(1+CHOOSE(F$3,(X308+($K$3/10000))/2,(X307+($K$3/10000))/2))^(2*W307/365.25)</f>
        <v>0.245533267961907</v>
      </c>
      <c r="Z307" s="67" t="n">
        <f aca="false">IF(AND(mthbeg&lt;=A307,mthend&gt;=A307),1,0)</f>
        <v>0</v>
      </c>
      <c r="AA307" s="67" t="n">
        <f aca="false">U307*Z307</f>
        <v>0</v>
      </c>
      <c r="AC307" s="110" t="n">
        <f aca="false">F307*(H307-I307)</f>
        <v>0</v>
      </c>
      <c r="AD307" s="49"/>
      <c r="AE307" s="124"/>
    </row>
    <row r="308" customFormat="false" ht="12" hidden="false" customHeight="true" outlineLevel="0" collapsed="false">
      <c r="A308" s="115" t="n">
        <f aca="false">EDATE(A307,1)</f>
        <v>46327</v>
      </c>
      <c r="B308" s="116" t="n">
        <f aca="false">'Inputs-Summary'!$B$7</f>
        <v>3017157.21662952</v>
      </c>
      <c r="C308" s="57"/>
      <c r="D308" s="117" t="n">
        <f aca="false">B308+C308</f>
        <v>3017157.21662952</v>
      </c>
      <c r="E308" s="106" t="n">
        <f aca="false">IF(Z308=0,0,IF(AND(Z308=1,$H$3=1),D308*U308,IF($H$3=2,D308,"N/A")))</f>
        <v>0</v>
      </c>
      <c r="F308" s="106" t="n">
        <f aca="false">E308*Y308</f>
        <v>0</v>
      </c>
      <c r="G308" s="118" t="n">
        <f aca="false">VLOOKUP($A308,Table,MATCH(G$4,Curves,0))</f>
        <v>3</v>
      </c>
      <c r="H308" s="119" t="n">
        <f aca="false">G308+$H$7</f>
        <v>3</v>
      </c>
      <c r="I308" s="118" t="n">
        <f aca="false">'Inputs-Summary'!$B$16</f>
        <v>1.85</v>
      </c>
      <c r="J308" s="118" t="n">
        <f aca="false">VLOOKUP($A308,Table,MATCH(J$4,Curves,0))</f>
        <v>5</v>
      </c>
      <c r="K308" s="119" t="n">
        <f aca="false">J308+$K$7</f>
        <v>5</v>
      </c>
      <c r="L308" s="120" t="n">
        <f aca="false">K308</f>
        <v>5</v>
      </c>
      <c r="M308" s="118" t="n">
        <f aca="false">VLOOKUP($A308,Table,MATCH(M$4,Curves,0))</f>
        <v>5</v>
      </c>
      <c r="N308" s="119" t="n">
        <f aca="false">M308+$N$7</f>
        <v>5</v>
      </c>
      <c r="O308" s="120" t="n">
        <f aca="false">N308</f>
        <v>5</v>
      </c>
      <c r="P308" s="109"/>
      <c r="Q308" s="120" t="n">
        <f aca="false">IF($F$3=1,M308+J308+G308,J308+G308)</f>
        <v>8</v>
      </c>
      <c r="R308" s="120" t="n">
        <f aca="false">IF($F$3=1,N308+K308+H308,K308+H308)</f>
        <v>8</v>
      </c>
      <c r="S308" s="120" t="n">
        <f aca="false">IF($F$3=1,O308+L308+I308,L308+I308)</f>
        <v>6.85</v>
      </c>
      <c r="T308" s="121"/>
      <c r="U308" s="67" t="n">
        <f aca="false">A309-A308</f>
        <v>30</v>
      </c>
      <c r="V308" s="122" t="n">
        <f aca="false">CHOOSE(F$3,A309+24,A308)</f>
        <v>46327</v>
      </c>
      <c r="W308" s="67" t="n">
        <f aca="false">V308-C$3</f>
        <v>401</v>
      </c>
      <c r="X308" s="118" t="n">
        <f aca="false">VLOOKUP($A308,Table,MATCH(X$4,Curves,0))</f>
        <v>2</v>
      </c>
      <c r="Y308" s="123" t="n">
        <f aca="false">1/(1+CHOOSE(F$3,(X309+($K$3/10000))/2,(X308+($K$3/10000))/2))^(2*W308/365.25)</f>
        <v>0.218278761579003</v>
      </c>
      <c r="Z308" s="67" t="n">
        <f aca="false">IF(AND(mthbeg&lt;=A308,mthend&gt;=A308),1,0)</f>
        <v>0</v>
      </c>
      <c r="AA308" s="67" t="n">
        <f aca="false">U308*Z308</f>
        <v>0</v>
      </c>
      <c r="AC308" s="110" t="n">
        <f aca="false">F308*(H308-I308)</f>
        <v>0</v>
      </c>
      <c r="AD308" s="49"/>
      <c r="AE308" s="124"/>
    </row>
    <row r="309" customFormat="false" ht="12" hidden="false" customHeight="true" outlineLevel="0" collapsed="false">
      <c r="A309" s="115" t="n">
        <f aca="false">EDATE(A308,1)</f>
        <v>46357</v>
      </c>
      <c r="B309" s="116" t="n">
        <f aca="false">'Inputs-Summary'!$B$7</f>
        <v>3017157.21662952</v>
      </c>
      <c r="C309" s="57"/>
      <c r="D309" s="117" t="n">
        <f aca="false">B309+C309</f>
        <v>3017157.21662952</v>
      </c>
      <c r="E309" s="106" t="n">
        <f aca="false">IF(Z309=0,0,IF(AND(Z309=1,$H$3=1),D309*U309,IF($H$3=2,D309,"N/A")))</f>
        <v>0</v>
      </c>
      <c r="F309" s="106" t="n">
        <f aca="false">E309*Y309</f>
        <v>0</v>
      </c>
      <c r="G309" s="118" t="n">
        <f aca="false">VLOOKUP($A309,Table,MATCH(G$4,Curves,0))</f>
        <v>3</v>
      </c>
      <c r="H309" s="119" t="n">
        <f aca="false">G309+$H$7</f>
        <v>3</v>
      </c>
      <c r="I309" s="118" t="n">
        <f aca="false">'Inputs-Summary'!$B$16</f>
        <v>1.85</v>
      </c>
      <c r="J309" s="118" t="n">
        <f aca="false">VLOOKUP($A309,Table,MATCH(J$4,Curves,0))</f>
        <v>5</v>
      </c>
      <c r="K309" s="119" t="n">
        <f aca="false">J309+$K$7</f>
        <v>5</v>
      </c>
      <c r="L309" s="120" t="n">
        <f aca="false">K309</f>
        <v>5</v>
      </c>
      <c r="M309" s="118" t="n">
        <f aca="false">VLOOKUP($A309,Table,MATCH(M$4,Curves,0))</f>
        <v>5</v>
      </c>
      <c r="N309" s="119" t="n">
        <f aca="false">M309+$N$7</f>
        <v>5</v>
      </c>
      <c r="O309" s="120" t="n">
        <f aca="false">N309</f>
        <v>5</v>
      </c>
      <c r="P309" s="109"/>
      <c r="Q309" s="120" t="n">
        <f aca="false">IF($F$3=1,M309+J309+G309,J309+G309)</f>
        <v>8</v>
      </c>
      <c r="R309" s="120" t="n">
        <f aca="false">IF($F$3=1,N309+K309+H309,K309+H309)</f>
        <v>8</v>
      </c>
      <c r="S309" s="120" t="n">
        <f aca="false">IF($F$3=1,O309+L309+I309,L309+I309)</f>
        <v>6.85</v>
      </c>
      <c r="T309" s="121"/>
      <c r="U309" s="67" t="n">
        <f aca="false">A310-A309</f>
        <v>31</v>
      </c>
      <c r="V309" s="122" t="n">
        <f aca="false">CHOOSE(F$3,A310+24,A309)</f>
        <v>46357</v>
      </c>
      <c r="W309" s="67" t="n">
        <f aca="false">V309-C$3</f>
        <v>431</v>
      </c>
      <c r="X309" s="118" t="n">
        <f aca="false">VLOOKUP($A309,Table,MATCH(X$4,Curves,0))</f>
        <v>2</v>
      </c>
      <c r="Y309" s="123" t="n">
        <f aca="false">1/(1+CHOOSE(F$3,(X310+($K$3/10000))/2,(X309+($K$3/10000))/2))^(2*W309/365.25)</f>
        <v>0.194787448333284</v>
      </c>
      <c r="Z309" s="67" t="n">
        <f aca="false">IF(AND(mthbeg&lt;=A309,mthend&gt;=A309),1,0)</f>
        <v>0</v>
      </c>
      <c r="AA309" s="67" t="n">
        <f aca="false">U309*Z309</f>
        <v>0</v>
      </c>
      <c r="AC309" s="110" t="n">
        <f aca="false">F309*(H309-I309)</f>
        <v>0</v>
      </c>
      <c r="AD309" s="49"/>
      <c r="AE309" s="124"/>
    </row>
    <row r="310" customFormat="false" ht="12" hidden="false" customHeight="true" outlineLevel="0" collapsed="false">
      <c r="A310" s="115" t="n">
        <f aca="false">EDATE(A309,1)</f>
        <v>46388</v>
      </c>
      <c r="B310" s="116" t="n">
        <f aca="false">'Inputs-Summary'!$B$7</f>
        <v>3017157.21662952</v>
      </c>
      <c r="C310" s="57"/>
      <c r="D310" s="117" t="n">
        <f aca="false">B310+C310</f>
        <v>3017157.21662952</v>
      </c>
      <c r="E310" s="106" t="n">
        <f aca="false">IF(Z310=0,0,IF(AND(Z310=1,$H$3=1),D310*U310,IF($H$3=2,D310,"N/A")))</f>
        <v>0</v>
      </c>
      <c r="F310" s="106" t="n">
        <f aca="false">E310*Y310</f>
        <v>0</v>
      </c>
      <c r="G310" s="118" t="n">
        <f aca="false">VLOOKUP($A310,Table,MATCH(G$4,Curves,0))</f>
        <v>3</v>
      </c>
      <c r="H310" s="119" t="n">
        <f aca="false">G310+$H$7</f>
        <v>3</v>
      </c>
      <c r="I310" s="118" t="n">
        <f aca="false">'Inputs-Summary'!$B$16</f>
        <v>1.85</v>
      </c>
      <c r="J310" s="118" t="n">
        <f aca="false">VLOOKUP($A310,Table,MATCH(J$4,Curves,0))</f>
        <v>5</v>
      </c>
      <c r="K310" s="119" t="n">
        <f aca="false">J310+$K$7</f>
        <v>5</v>
      </c>
      <c r="L310" s="120" t="n">
        <f aca="false">K310</f>
        <v>5</v>
      </c>
      <c r="M310" s="118" t="n">
        <f aca="false">VLOOKUP($A310,Table,MATCH(M$4,Curves,0))</f>
        <v>5</v>
      </c>
      <c r="N310" s="119" t="n">
        <f aca="false">M310+$N$7</f>
        <v>5</v>
      </c>
      <c r="O310" s="120" t="n">
        <f aca="false">N310</f>
        <v>5</v>
      </c>
      <c r="P310" s="109"/>
      <c r="Q310" s="120" t="n">
        <f aca="false">IF($F$3=1,M310+J310+G310,J310+G310)</f>
        <v>8</v>
      </c>
      <c r="R310" s="120" t="n">
        <f aca="false">IF($F$3=1,N310+K310+H310,K310+H310)</f>
        <v>8</v>
      </c>
      <c r="S310" s="120" t="n">
        <f aca="false">IF($F$3=1,O310+L310+I310,L310+I310)</f>
        <v>6.85</v>
      </c>
      <c r="T310" s="121"/>
      <c r="U310" s="67" t="n">
        <f aca="false">A311-A310</f>
        <v>31</v>
      </c>
      <c r="V310" s="122" t="n">
        <f aca="false">CHOOSE(F$3,A311+24,A310)</f>
        <v>46388</v>
      </c>
      <c r="W310" s="67" t="n">
        <f aca="false">V310-C$3</f>
        <v>462</v>
      </c>
      <c r="X310" s="118" t="n">
        <f aca="false">VLOOKUP($A310,Table,MATCH(X$4,Curves,0))</f>
        <v>2</v>
      </c>
      <c r="Y310" s="123" t="n">
        <f aca="false">1/(1+CHOOSE(F$3,(X311+($K$3/10000))/2,(X310+($K$3/10000))/2))^(2*W310/365.25)</f>
        <v>0.17316579275082</v>
      </c>
      <c r="Z310" s="67" t="n">
        <f aca="false">IF(AND(mthbeg&lt;=A310,mthend&gt;=A310),1,0)</f>
        <v>0</v>
      </c>
      <c r="AA310" s="67" t="n">
        <f aca="false">U310*Z310</f>
        <v>0</v>
      </c>
      <c r="AC310" s="110" t="n">
        <f aca="false">F310*(H310-I310)</f>
        <v>0</v>
      </c>
      <c r="AD310" s="49"/>
      <c r="AE310" s="124"/>
    </row>
    <row r="311" customFormat="false" ht="12" hidden="false" customHeight="true" outlineLevel="0" collapsed="false">
      <c r="A311" s="115" t="n">
        <f aca="false">EDATE(A310,1)</f>
        <v>46419</v>
      </c>
      <c r="B311" s="116" t="n">
        <f aca="false">'Inputs-Summary'!$B$7</f>
        <v>3017157.21662952</v>
      </c>
      <c r="C311" s="57"/>
      <c r="D311" s="117" t="n">
        <f aca="false">B311+C311</f>
        <v>3017157.21662952</v>
      </c>
      <c r="E311" s="106" t="n">
        <f aca="false">IF(Z311=0,0,IF(AND(Z311=1,$H$3=1),D311*U311,IF($H$3=2,D311,"N/A")))</f>
        <v>0</v>
      </c>
      <c r="F311" s="106" t="n">
        <f aca="false">E311*Y311</f>
        <v>0</v>
      </c>
      <c r="G311" s="118" t="n">
        <f aca="false">VLOOKUP($A311,Table,MATCH(G$4,Curves,0))</f>
        <v>3</v>
      </c>
      <c r="H311" s="119" t="n">
        <f aca="false">G311+$H$7</f>
        <v>3</v>
      </c>
      <c r="I311" s="118" t="n">
        <f aca="false">'Inputs-Summary'!$B$16</f>
        <v>1.85</v>
      </c>
      <c r="J311" s="118" t="n">
        <f aca="false">VLOOKUP($A311,Table,MATCH(J$4,Curves,0))</f>
        <v>5</v>
      </c>
      <c r="K311" s="119" t="n">
        <f aca="false">J311+$K$7</f>
        <v>5</v>
      </c>
      <c r="L311" s="120" t="n">
        <f aca="false">K311</f>
        <v>5</v>
      </c>
      <c r="M311" s="118" t="n">
        <f aca="false">VLOOKUP($A311,Table,MATCH(M$4,Curves,0))</f>
        <v>5</v>
      </c>
      <c r="N311" s="119" t="n">
        <f aca="false">M311+$N$7</f>
        <v>5</v>
      </c>
      <c r="O311" s="120" t="n">
        <f aca="false">N311</f>
        <v>5</v>
      </c>
      <c r="P311" s="109"/>
      <c r="Q311" s="120" t="n">
        <f aca="false">IF($F$3=1,M311+J311+G311,J311+G311)</f>
        <v>8</v>
      </c>
      <c r="R311" s="120" t="n">
        <f aca="false">IF($F$3=1,N311+K311+H311,K311+H311)</f>
        <v>8</v>
      </c>
      <c r="S311" s="120" t="n">
        <f aca="false">IF($F$3=1,O311+L311+I311,L311+I311)</f>
        <v>6.85</v>
      </c>
      <c r="T311" s="121"/>
      <c r="U311" s="67" t="n">
        <f aca="false">A312-A311</f>
        <v>28</v>
      </c>
      <c r="V311" s="122" t="n">
        <f aca="false">CHOOSE(F$3,A312+24,A311)</f>
        <v>46419</v>
      </c>
      <c r="W311" s="67" t="n">
        <f aca="false">V311-C$3</f>
        <v>493</v>
      </c>
      <c r="X311" s="118" t="n">
        <f aca="false">VLOOKUP($A311,Table,MATCH(X$4,Curves,0))</f>
        <v>2</v>
      </c>
      <c r="Y311" s="123" t="n">
        <f aca="false">1/(1+CHOOSE(F$3,(X312+($K$3/10000))/2,(X311+($K$3/10000))/2))^(2*W311/365.25)</f>
        <v>0.153944168557066</v>
      </c>
      <c r="Z311" s="67" t="n">
        <f aca="false">IF(AND(mthbeg&lt;=A311,mthend&gt;=A311),1,0)</f>
        <v>0</v>
      </c>
      <c r="AA311" s="67" t="n">
        <f aca="false">U311*Z311</f>
        <v>0</v>
      </c>
      <c r="AC311" s="110" t="n">
        <f aca="false">F311*(H311-I311)</f>
        <v>0</v>
      </c>
      <c r="AD311" s="49"/>
      <c r="AE311" s="124"/>
    </row>
    <row r="312" customFormat="false" ht="12" hidden="false" customHeight="true" outlineLevel="0" collapsed="false">
      <c r="A312" s="115" t="n">
        <f aca="false">EDATE(A311,1)</f>
        <v>46447</v>
      </c>
      <c r="B312" s="116" t="n">
        <f aca="false">'Inputs-Summary'!$B$7</f>
        <v>3017157.21662952</v>
      </c>
      <c r="C312" s="57"/>
      <c r="D312" s="117" t="n">
        <f aca="false">B312+C312</f>
        <v>3017157.21662952</v>
      </c>
      <c r="E312" s="106" t="n">
        <f aca="false">IF(Z312=0,0,IF(AND(Z312=1,$H$3=1),D312*U312,IF($H$3=2,D312,"N/A")))</f>
        <v>0</v>
      </c>
      <c r="F312" s="106" t="n">
        <f aca="false">E312*Y312</f>
        <v>0</v>
      </c>
      <c r="G312" s="118" t="n">
        <f aca="false">VLOOKUP($A312,Table,MATCH(G$4,Curves,0))</f>
        <v>3</v>
      </c>
      <c r="H312" s="119" t="n">
        <f aca="false">G312+$H$7</f>
        <v>3</v>
      </c>
      <c r="I312" s="118" t="n">
        <f aca="false">'Inputs-Summary'!$B$16</f>
        <v>1.85</v>
      </c>
      <c r="J312" s="118" t="n">
        <f aca="false">VLOOKUP($A312,Table,MATCH(J$4,Curves,0))</f>
        <v>5</v>
      </c>
      <c r="K312" s="119" t="n">
        <f aca="false">J312+$K$7</f>
        <v>5</v>
      </c>
      <c r="L312" s="120" t="n">
        <f aca="false">K312</f>
        <v>5</v>
      </c>
      <c r="M312" s="118" t="n">
        <f aca="false">VLOOKUP($A312,Table,MATCH(M$4,Curves,0))</f>
        <v>5</v>
      </c>
      <c r="N312" s="119" t="n">
        <f aca="false">M312+$N$7</f>
        <v>5</v>
      </c>
      <c r="O312" s="120" t="n">
        <f aca="false">N312</f>
        <v>5</v>
      </c>
      <c r="P312" s="109"/>
      <c r="Q312" s="120" t="n">
        <f aca="false">IF($F$3=1,M312+J312+G312,J312+G312)</f>
        <v>8</v>
      </c>
      <c r="R312" s="120" t="n">
        <f aca="false">IF($F$3=1,N312+K312+H312,K312+H312)</f>
        <v>8</v>
      </c>
      <c r="S312" s="120" t="n">
        <f aca="false">IF($F$3=1,O312+L312+I312,L312+I312)</f>
        <v>6.85</v>
      </c>
      <c r="T312" s="121"/>
      <c r="U312" s="67" t="n">
        <f aca="false">A313-A312</f>
        <v>31</v>
      </c>
      <c r="V312" s="122" t="n">
        <f aca="false">CHOOSE(F$3,A313+24,A312)</f>
        <v>46447</v>
      </c>
      <c r="W312" s="67" t="n">
        <f aca="false">V312-C$3</f>
        <v>521</v>
      </c>
      <c r="X312" s="118" t="n">
        <f aca="false">VLOOKUP($A312,Table,MATCH(X$4,Curves,0))</f>
        <v>2</v>
      </c>
      <c r="Y312" s="123" t="n">
        <f aca="false">1/(1+CHOOSE(F$3,(X313+($K$3/10000))/2,(X312+($K$3/10000))/2))^(2*W312/365.25)</f>
        <v>0.138423373947008</v>
      </c>
      <c r="Z312" s="67" t="n">
        <f aca="false">IF(AND(mthbeg&lt;=A312,mthend&gt;=A312),1,0)</f>
        <v>0</v>
      </c>
      <c r="AA312" s="67" t="n">
        <f aca="false">U312*Z312</f>
        <v>0</v>
      </c>
      <c r="AC312" s="110" t="n">
        <f aca="false">F312*(H312-I312)</f>
        <v>0</v>
      </c>
      <c r="AD312" s="49"/>
      <c r="AE312" s="124"/>
    </row>
    <row r="313" customFormat="false" ht="12" hidden="false" customHeight="true" outlineLevel="0" collapsed="false">
      <c r="A313" s="115" t="n">
        <f aca="false">EDATE(A312,1)</f>
        <v>46478</v>
      </c>
      <c r="B313" s="116" t="n">
        <f aca="false">'Inputs-Summary'!$B$7</f>
        <v>3017157.21662952</v>
      </c>
      <c r="C313" s="57"/>
      <c r="D313" s="117" t="n">
        <f aca="false">B313+C313</f>
        <v>3017157.21662952</v>
      </c>
      <c r="E313" s="106" t="n">
        <f aca="false">IF(Z313=0,0,IF(AND(Z313=1,$H$3=1),D313*U313,IF($H$3=2,D313,"N/A")))</f>
        <v>0</v>
      </c>
      <c r="F313" s="106" t="n">
        <f aca="false">E313*Y313</f>
        <v>0</v>
      </c>
      <c r="G313" s="118" t="n">
        <f aca="false">VLOOKUP($A313,Table,MATCH(G$4,Curves,0))</f>
        <v>3</v>
      </c>
      <c r="H313" s="119" t="n">
        <f aca="false">G313+$H$7</f>
        <v>3</v>
      </c>
      <c r="I313" s="118" t="n">
        <f aca="false">'Inputs-Summary'!$B$16</f>
        <v>1.85</v>
      </c>
      <c r="J313" s="118" t="n">
        <f aca="false">VLOOKUP($A313,Table,MATCH(J$4,Curves,0))</f>
        <v>5</v>
      </c>
      <c r="K313" s="119" t="n">
        <f aca="false">J313+$K$7</f>
        <v>5</v>
      </c>
      <c r="L313" s="120" t="n">
        <f aca="false">K313</f>
        <v>5</v>
      </c>
      <c r="M313" s="118" t="n">
        <f aca="false">VLOOKUP($A313,Table,MATCH(M$4,Curves,0))</f>
        <v>5</v>
      </c>
      <c r="N313" s="119" t="n">
        <f aca="false">M313+$N$7</f>
        <v>5</v>
      </c>
      <c r="O313" s="120" t="n">
        <f aca="false">N313</f>
        <v>5</v>
      </c>
      <c r="P313" s="109"/>
      <c r="Q313" s="120" t="n">
        <f aca="false">IF($F$3=1,M313+J313+G313,J313+G313)</f>
        <v>8</v>
      </c>
      <c r="R313" s="120" t="n">
        <f aca="false">IF($F$3=1,N313+K313+H313,K313+H313)</f>
        <v>8</v>
      </c>
      <c r="S313" s="120" t="n">
        <f aca="false">IF($F$3=1,O313+L313+I313,L313+I313)</f>
        <v>6.85</v>
      </c>
      <c r="T313" s="121"/>
      <c r="U313" s="67" t="n">
        <f aca="false">A314-A313</f>
        <v>30</v>
      </c>
      <c r="V313" s="122" t="n">
        <f aca="false">CHOOSE(F$3,A314+24,A313)</f>
        <v>46478</v>
      </c>
      <c r="W313" s="67" t="n">
        <f aca="false">V313-C$3</f>
        <v>552</v>
      </c>
      <c r="X313" s="118" t="n">
        <f aca="false">VLOOKUP($A313,Table,MATCH(X$4,Curves,0))</f>
        <v>2</v>
      </c>
      <c r="Y313" s="123" t="n">
        <f aca="false">1/(1+CHOOSE(F$3,(X314+($K$3/10000))/2,(X313+($K$3/10000))/2))^(2*W313/365.25)</f>
        <v>0.123058202619727</v>
      </c>
      <c r="Z313" s="67" t="n">
        <f aca="false">IF(AND(mthbeg&lt;=A313,mthend&gt;=A313),1,0)</f>
        <v>0</v>
      </c>
      <c r="AA313" s="67" t="n">
        <f aca="false">U313*Z313</f>
        <v>0</v>
      </c>
      <c r="AC313" s="110" t="n">
        <f aca="false">F313*(H313-I313)</f>
        <v>0</v>
      </c>
      <c r="AD313" s="49"/>
      <c r="AE313" s="124"/>
    </row>
    <row r="314" customFormat="false" ht="12" hidden="false" customHeight="true" outlineLevel="0" collapsed="false">
      <c r="A314" s="115" t="n">
        <f aca="false">EDATE(A313,1)</f>
        <v>46508</v>
      </c>
      <c r="B314" s="116" t="n">
        <f aca="false">'Inputs-Summary'!$B$7</f>
        <v>3017157.21662952</v>
      </c>
      <c r="C314" s="57"/>
      <c r="D314" s="117" t="n">
        <f aca="false">B314+C314</f>
        <v>3017157.21662952</v>
      </c>
      <c r="E314" s="106" t="n">
        <f aca="false">IF(Z314=0,0,IF(AND(Z314=1,$H$3=1),D314*U314,IF($H$3=2,D314,"N/A")))</f>
        <v>0</v>
      </c>
      <c r="F314" s="106" t="n">
        <f aca="false">E314*Y314</f>
        <v>0</v>
      </c>
      <c r="G314" s="118" t="n">
        <f aca="false">VLOOKUP($A314,Table,MATCH(G$4,Curves,0))</f>
        <v>3</v>
      </c>
      <c r="H314" s="119" t="n">
        <f aca="false">G314+$H$7</f>
        <v>3</v>
      </c>
      <c r="I314" s="118" t="n">
        <f aca="false">'Inputs-Summary'!$B$16</f>
        <v>1.85</v>
      </c>
      <c r="J314" s="118" t="n">
        <f aca="false">VLOOKUP($A314,Table,MATCH(J$4,Curves,0))</f>
        <v>5</v>
      </c>
      <c r="K314" s="119" t="n">
        <f aca="false">J314+$K$7</f>
        <v>5</v>
      </c>
      <c r="L314" s="120" t="n">
        <f aca="false">K314</f>
        <v>5</v>
      </c>
      <c r="M314" s="118" t="n">
        <f aca="false">VLOOKUP($A314,Table,MATCH(M$4,Curves,0))</f>
        <v>5</v>
      </c>
      <c r="N314" s="119" t="n">
        <f aca="false">M314+$N$7</f>
        <v>5</v>
      </c>
      <c r="O314" s="120" t="n">
        <f aca="false">N314</f>
        <v>5</v>
      </c>
      <c r="P314" s="109"/>
      <c r="Q314" s="120" t="n">
        <f aca="false">IF($F$3=1,M314+J314+G314,J314+G314)</f>
        <v>8</v>
      </c>
      <c r="R314" s="120" t="n">
        <f aca="false">IF($F$3=1,N314+K314+H314,K314+H314)</f>
        <v>8</v>
      </c>
      <c r="S314" s="120" t="n">
        <f aca="false">IF($F$3=1,O314+L314+I314,L314+I314)</f>
        <v>6.85</v>
      </c>
      <c r="T314" s="121"/>
      <c r="U314" s="67" t="n">
        <f aca="false">A315-A314</f>
        <v>31</v>
      </c>
      <c r="V314" s="122" t="n">
        <f aca="false">CHOOSE(F$3,A315+24,A314)</f>
        <v>46508</v>
      </c>
      <c r="W314" s="67" t="n">
        <f aca="false">V314-C$3</f>
        <v>582</v>
      </c>
      <c r="X314" s="118" t="n">
        <f aca="false">VLOOKUP($A314,Table,MATCH(X$4,Curves,0))</f>
        <v>2</v>
      </c>
      <c r="Y314" s="123" t="n">
        <f aca="false">1/(1+CHOOSE(F$3,(X315+($K$3/10000))/2,(X314+($K$3/10000))/2))^(2*W314/365.25)</f>
        <v>0.109814592640068</v>
      </c>
      <c r="Z314" s="67" t="n">
        <f aca="false">IF(AND(mthbeg&lt;=A314,mthend&gt;=A314),1,0)</f>
        <v>0</v>
      </c>
      <c r="AA314" s="67" t="n">
        <f aca="false">U314*Z314</f>
        <v>0</v>
      </c>
      <c r="AC314" s="110" t="n">
        <f aca="false">F314*(H314-I314)</f>
        <v>0</v>
      </c>
      <c r="AD314" s="49"/>
      <c r="AE314" s="124"/>
    </row>
    <row r="315" customFormat="false" ht="12" hidden="false" customHeight="true" outlineLevel="0" collapsed="false">
      <c r="A315" s="115" t="n">
        <f aca="false">EDATE(A314,1)</f>
        <v>46539</v>
      </c>
      <c r="B315" s="116" t="n">
        <f aca="false">'Inputs-Summary'!$B$7</f>
        <v>3017157.21662952</v>
      </c>
      <c r="C315" s="57"/>
      <c r="D315" s="117" t="n">
        <f aca="false">B315+C315</f>
        <v>3017157.21662952</v>
      </c>
      <c r="E315" s="106" t="n">
        <f aca="false">IF(Z315=0,0,IF(AND(Z315=1,$H$3=1),D315*U315,IF($H$3=2,D315,"N/A")))</f>
        <v>0</v>
      </c>
      <c r="F315" s="106" t="n">
        <f aca="false">E315*Y315</f>
        <v>0</v>
      </c>
      <c r="G315" s="118" t="n">
        <f aca="false">VLOOKUP($A315,Table,MATCH(G$4,Curves,0))</f>
        <v>3</v>
      </c>
      <c r="H315" s="119" t="n">
        <f aca="false">G315+$H$7</f>
        <v>3</v>
      </c>
      <c r="I315" s="118" t="n">
        <f aca="false">'Inputs-Summary'!$B$16</f>
        <v>1.85</v>
      </c>
      <c r="J315" s="118" t="n">
        <f aca="false">VLOOKUP($A315,Table,MATCH(J$4,Curves,0))</f>
        <v>5</v>
      </c>
      <c r="K315" s="119" t="n">
        <f aca="false">J315+$K$7</f>
        <v>5</v>
      </c>
      <c r="L315" s="120" t="n">
        <f aca="false">K315</f>
        <v>5</v>
      </c>
      <c r="M315" s="118" t="n">
        <f aca="false">VLOOKUP($A315,Table,MATCH(M$4,Curves,0))</f>
        <v>5</v>
      </c>
      <c r="N315" s="119" t="n">
        <f aca="false">M315+$N$7</f>
        <v>5</v>
      </c>
      <c r="O315" s="120" t="n">
        <f aca="false">N315</f>
        <v>5</v>
      </c>
      <c r="P315" s="109"/>
      <c r="Q315" s="120" t="n">
        <f aca="false">IF($F$3=1,M315+J315+G315,J315+G315)</f>
        <v>8</v>
      </c>
      <c r="R315" s="120" t="n">
        <f aca="false">IF($F$3=1,N315+K315+H315,K315+H315)</f>
        <v>8</v>
      </c>
      <c r="S315" s="120" t="n">
        <f aca="false">IF($F$3=1,O315+L315+I315,L315+I315)</f>
        <v>6.85</v>
      </c>
      <c r="T315" s="121"/>
      <c r="U315" s="67" t="n">
        <f aca="false">A316-A315</f>
        <v>30</v>
      </c>
      <c r="V315" s="122" t="n">
        <f aca="false">CHOOSE(F$3,A316+24,A315)</f>
        <v>46539</v>
      </c>
      <c r="W315" s="67" t="n">
        <f aca="false">V315-C$3</f>
        <v>613</v>
      </c>
      <c r="X315" s="118" t="n">
        <f aca="false">VLOOKUP($A315,Table,MATCH(X$4,Curves,0))</f>
        <v>2</v>
      </c>
      <c r="Y315" s="123" t="n">
        <f aca="false">1/(1+CHOOSE(F$3,(X316+($K$3/10000))/2,(X315+($K$3/10000))/2))^(2*W315/365.25)</f>
        <v>0.0976250325821247</v>
      </c>
      <c r="Z315" s="67" t="n">
        <f aca="false">IF(AND(mthbeg&lt;=A315,mthend&gt;=A315),1,0)</f>
        <v>0</v>
      </c>
      <c r="AA315" s="67" t="n">
        <f aca="false">U315*Z315</f>
        <v>0</v>
      </c>
      <c r="AC315" s="110" t="n">
        <f aca="false">F315*(H315-I315)</f>
        <v>0</v>
      </c>
      <c r="AD315" s="49"/>
      <c r="AE315" s="124"/>
    </row>
    <row r="316" customFormat="false" ht="12" hidden="false" customHeight="true" outlineLevel="0" collapsed="false">
      <c r="A316" s="115" t="n">
        <f aca="false">EDATE(A315,1)</f>
        <v>46569</v>
      </c>
      <c r="B316" s="116" t="n">
        <f aca="false">'Inputs-Summary'!$B$7</f>
        <v>3017157.21662952</v>
      </c>
      <c r="C316" s="57"/>
      <c r="D316" s="117" t="n">
        <f aca="false">B316+C316</f>
        <v>3017157.21662952</v>
      </c>
      <c r="E316" s="106" t="n">
        <f aca="false">IF(Z316=0,0,IF(AND(Z316=1,$H$3=1),D316*U316,IF($H$3=2,D316,"N/A")))</f>
        <v>0</v>
      </c>
      <c r="F316" s="106" t="n">
        <f aca="false">E316*Y316</f>
        <v>0</v>
      </c>
      <c r="G316" s="118" t="n">
        <f aca="false">VLOOKUP($A316,Table,MATCH(G$4,Curves,0))</f>
        <v>3</v>
      </c>
      <c r="H316" s="119" t="n">
        <f aca="false">G316+$H$7</f>
        <v>3</v>
      </c>
      <c r="I316" s="118" t="n">
        <f aca="false">'Inputs-Summary'!$B$16</f>
        <v>1.85</v>
      </c>
      <c r="J316" s="118" t="n">
        <f aca="false">VLOOKUP($A316,Table,MATCH(J$4,Curves,0))</f>
        <v>5</v>
      </c>
      <c r="K316" s="119" t="n">
        <f aca="false">J316+$K$7</f>
        <v>5</v>
      </c>
      <c r="L316" s="120" t="n">
        <f aca="false">K316</f>
        <v>5</v>
      </c>
      <c r="M316" s="118" t="n">
        <f aca="false">VLOOKUP($A316,Table,MATCH(M$4,Curves,0))</f>
        <v>5</v>
      </c>
      <c r="N316" s="119" t="n">
        <f aca="false">M316+$N$7</f>
        <v>5</v>
      </c>
      <c r="O316" s="120" t="n">
        <f aca="false">N316</f>
        <v>5</v>
      </c>
      <c r="P316" s="109"/>
      <c r="Q316" s="120" t="n">
        <f aca="false">IF($F$3=1,M316+J316+G316,J316+G316)</f>
        <v>8</v>
      </c>
      <c r="R316" s="120" t="n">
        <f aca="false">IF($F$3=1,N316+K316+H316,K316+H316)</f>
        <v>8</v>
      </c>
      <c r="S316" s="120" t="n">
        <f aca="false">IF($F$3=1,O316+L316+I316,L316+I316)</f>
        <v>6.85</v>
      </c>
      <c r="T316" s="121"/>
      <c r="U316" s="67" t="n">
        <f aca="false">A317-A316</f>
        <v>31</v>
      </c>
      <c r="V316" s="122" t="n">
        <f aca="false">CHOOSE(F$3,A317+24,A316)</f>
        <v>46569</v>
      </c>
      <c r="W316" s="67" t="n">
        <f aca="false">V316-C$3</f>
        <v>643</v>
      </c>
      <c r="X316" s="118" t="n">
        <f aca="false">VLOOKUP($A316,Table,MATCH(X$4,Curves,0))</f>
        <v>2</v>
      </c>
      <c r="Y316" s="123" t="n">
        <f aca="false">1/(1+CHOOSE(F$3,(X317+($K$3/10000))/2,(X316+($K$3/10000))/2))^(2*W316/365.25)</f>
        <v>0.0871185581802155</v>
      </c>
      <c r="Z316" s="67" t="n">
        <f aca="false">IF(AND(mthbeg&lt;=A316,mthend&gt;=A316),1,0)</f>
        <v>0</v>
      </c>
      <c r="AA316" s="67" t="n">
        <f aca="false">U316*Z316</f>
        <v>0</v>
      </c>
      <c r="AC316" s="110" t="n">
        <f aca="false">F316*(H316-I316)</f>
        <v>0</v>
      </c>
      <c r="AD316" s="49"/>
      <c r="AE316" s="124"/>
    </row>
    <row r="317" customFormat="false" ht="12" hidden="false" customHeight="true" outlineLevel="0" collapsed="false">
      <c r="A317" s="115" t="n">
        <f aca="false">EDATE(A316,1)</f>
        <v>46600</v>
      </c>
      <c r="B317" s="116" t="n">
        <f aca="false">'Inputs-Summary'!$B$7</f>
        <v>3017157.21662952</v>
      </c>
      <c r="C317" s="57"/>
      <c r="D317" s="117" t="n">
        <f aca="false">B317+C317</f>
        <v>3017157.21662952</v>
      </c>
      <c r="E317" s="106" t="n">
        <f aca="false">IF(Z317=0,0,IF(AND(Z317=1,$H$3=1),D317*U317,IF($H$3=2,D317,"N/A")))</f>
        <v>0</v>
      </c>
      <c r="F317" s="106" t="n">
        <f aca="false">E317*Y317</f>
        <v>0</v>
      </c>
      <c r="G317" s="118" t="n">
        <f aca="false">VLOOKUP($A317,Table,MATCH(G$4,Curves,0))</f>
        <v>3</v>
      </c>
      <c r="H317" s="119" t="n">
        <f aca="false">G317+$H$7</f>
        <v>3</v>
      </c>
      <c r="I317" s="118" t="n">
        <f aca="false">'Inputs-Summary'!$B$16</f>
        <v>1.85</v>
      </c>
      <c r="J317" s="118" t="n">
        <f aca="false">VLOOKUP($A317,Table,MATCH(J$4,Curves,0))</f>
        <v>5</v>
      </c>
      <c r="K317" s="119" t="n">
        <f aca="false">J317+$K$7</f>
        <v>5</v>
      </c>
      <c r="L317" s="120" t="n">
        <f aca="false">K317</f>
        <v>5</v>
      </c>
      <c r="M317" s="118" t="n">
        <f aca="false">VLOOKUP($A317,Table,MATCH(M$4,Curves,0))</f>
        <v>5</v>
      </c>
      <c r="N317" s="119" t="n">
        <f aca="false">M317+$N$7</f>
        <v>5</v>
      </c>
      <c r="O317" s="120" t="n">
        <f aca="false">N317</f>
        <v>5</v>
      </c>
      <c r="P317" s="109"/>
      <c r="Q317" s="120" t="n">
        <f aca="false">IF($F$3=1,M317+J317+G317,J317+G317)</f>
        <v>8</v>
      </c>
      <c r="R317" s="120" t="n">
        <f aca="false">IF($F$3=1,N317+K317+H317,K317+H317)</f>
        <v>8</v>
      </c>
      <c r="S317" s="120" t="n">
        <f aca="false">IF($F$3=1,O317+L317+I317,L317+I317)</f>
        <v>6.85</v>
      </c>
      <c r="T317" s="121"/>
      <c r="U317" s="67" t="n">
        <f aca="false">A318-A317</f>
        <v>31</v>
      </c>
      <c r="V317" s="122" t="n">
        <f aca="false">CHOOSE(F$3,A318+24,A317)</f>
        <v>46600</v>
      </c>
      <c r="W317" s="67" t="n">
        <f aca="false">V317-C$3</f>
        <v>674</v>
      </c>
      <c r="X317" s="118" t="n">
        <f aca="false">VLOOKUP($A317,Table,MATCH(X$4,Curves,0))</f>
        <v>2</v>
      </c>
      <c r="Y317" s="123" t="n">
        <f aca="false">1/(1+CHOOSE(F$3,(X318+($K$3/10000))/2,(X317+($K$3/10000))/2))^(2*W317/365.25)</f>
        <v>0.077448286938762</v>
      </c>
      <c r="Z317" s="67" t="n">
        <f aca="false">IF(AND(mthbeg&lt;=A317,mthend&gt;=A317),1,0)</f>
        <v>0</v>
      </c>
      <c r="AA317" s="67" t="n">
        <f aca="false">U317*Z317</f>
        <v>0</v>
      </c>
      <c r="AC317" s="110" t="n">
        <f aca="false">F317*(H317-I317)</f>
        <v>0</v>
      </c>
      <c r="AD317" s="49"/>
      <c r="AE317" s="124"/>
    </row>
    <row r="318" customFormat="false" ht="12" hidden="false" customHeight="true" outlineLevel="0" collapsed="false">
      <c r="A318" s="115" t="n">
        <f aca="false">EDATE(A317,1)</f>
        <v>46631</v>
      </c>
      <c r="B318" s="116" t="n">
        <f aca="false">'Inputs-Summary'!$B$7</f>
        <v>3017157.21662952</v>
      </c>
      <c r="C318" s="57"/>
      <c r="D318" s="117" t="n">
        <f aca="false">B318+C318</f>
        <v>3017157.21662952</v>
      </c>
      <c r="E318" s="106" t="n">
        <f aca="false">IF(Z318=0,0,IF(AND(Z318=1,$H$3=1),D318*U318,IF($H$3=2,D318,"N/A")))</f>
        <v>0</v>
      </c>
      <c r="F318" s="106" t="n">
        <f aca="false">E318*Y318</f>
        <v>0</v>
      </c>
      <c r="G318" s="118" t="n">
        <f aca="false">VLOOKUP($A318,Table,MATCH(G$4,Curves,0))</f>
        <v>3</v>
      </c>
      <c r="H318" s="119" t="n">
        <f aca="false">G318+$H$7</f>
        <v>3</v>
      </c>
      <c r="I318" s="118" t="n">
        <f aca="false">'Inputs-Summary'!$B$16</f>
        <v>1.85</v>
      </c>
      <c r="J318" s="118" t="n">
        <f aca="false">VLOOKUP($A318,Table,MATCH(J$4,Curves,0))</f>
        <v>5</v>
      </c>
      <c r="K318" s="119" t="n">
        <f aca="false">J318+$K$7</f>
        <v>5</v>
      </c>
      <c r="L318" s="120" t="n">
        <f aca="false">K318</f>
        <v>5</v>
      </c>
      <c r="M318" s="118" t="n">
        <f aca="false">VLOOKUP($A318,Table,MATCH(M$4,Curves,0))</f>
        <v>5</v>
      </c>
      <c r="N318" s="119" t="n">
        <f aca="false">M318+$N$7</f>
        <v>5</v>
      </c>
      <c r="O318" s="120" t="n">
        <f aca="false">N318</f>
        <v>5</v>
      </c>
      <c r="P318" s="109"/>
      <c r="Q318" s="120" t="n">
        <f aca="false">IF($F$3=1,M318+J318+G318,J318+G318)</f>
        <v>8</v>
      </c>
      <c r="R318" s="120" t="n">
        <f aca="false">IF($F$3=1,N318+K318+H318,K318+H318)</f>
        <v>8</v>
      </c>
      <c r="S318" s="120" t="n">
        <f aca="false">IF($F$3=1,O318+L318+I318,L318+I318)</f>
        <v>6.85</v>
      </c>
      <c r="T318" s="121"/>
      <c r="U318" s="67" t="n">
        <f aca="false">A319-A318</f>
        <v>30</v>
      </c>
      <c r="V318" s="122" t="n">
        <f aca="false">CHOOSE(F$3,A319+24,A318)</f>
        <v>46631</v>
      </c>
      <c r="W318" s="67" t="n">
        <f aca="false">V318-C$3</f>
        <v>705</v>
      </c>
      <c r="X318" s="118" t="n">
        <f aca="false">VLOOKUP($A318,Table,MATCH(X$4,Curves,0))</f>
        <v>2</v>
      </c>
      <c r="Y318" s="123" t="n">
        <f aca="false">1/(1+CHOOSE(F$3,(X319+($K$3/10000))/2,(X318+($K$3/10000))/2))^(2*W318/365.25)</f>
        <v>0.0688514281577148</v>
      </c>
      <c r="Z318" s="67" t="n">
        <f aca="false">IF(AND(mthbeg&lt;=A318,mthend&gt;=A318),1,0)</f>
        <v>0</v>
      </c>
      <c r="AA318" s="67" t="n">
        <f aca="false">U318*Z318</f>
        <v>0</v>
      </c>
      <c r="AC318" s="110" t="n">
        <f aca="false">F318*(H318-I318)</f>
        <v>0</v>
      </c>
      <c r="AD318" s="49"/>
      <c r="AE318" s="124"/>
    </row>
    <row r="319" customFormat="false" ht="12" hidden="false" customHeight="true" outlineLevel="0" collapsed="false">
      <c r="A319" s="115" t="n">
        <f aca="false">EDATE(A318,1)</f>
        <v>46661</v>
      </c>
      <c r="B319" s="116" t="n">
        <f aca="false">'Inputs-Summary'!$B$7</f>
        <v>3017157.21662952</v>
      </c>
      <c r="C319" s="57"/>
      <c r="D319" s="117" t="n">
        <f aca="false">B319+C319</f>
        <v>3017157.21662952</v>
      </c>
      <c r="E319" s="106" t="n">
        <f aca="false">IF(Z319=0,0,IF(AND(Z319=1,$H$3=1),D319*U319,IF($H$3=2,D319,"N/A")))</f>
        <v>0</v>
      </c>
      <c r="F319" s="106" t="n">
        <f aca="false">E319*Y319</f>
        <v>0</v>
      </c>
      <c r="G319" s="118" t="n">
        <f aca="false">VLOOKUP($A319,Table,MATCH(G$4,Curves,0))</f>
        <v>3</v>
      </c>
      <c r="H319" s="119" t="n">
        <f aca="false">G319+$H$7</f>
        <v>3</v>
      </c>
      <c r="I319" s="118" t="n">
        <f aca="false">'Inputs-Summary'!$B$16</f>
        <v>1.85</v>
      </c>
      <c r="J319" s="118" t="n">
        <f aca="false">VLOOKUP($A319,Table,MATCH(J$4,Curves,0))</f>
        <v>5</v>
      </c>
      <c r="K319" s="119" t="n">
        <f aca="false">J319+$K$7</f>
        <v>5</v>
      </c>
      <c r="L319" s="120" t="n">
        <f aca="false">K319</f>
        <v>5</v>
      </c>
      <c r="M319" s="118" t="n">
        <f aca="false">VLOOKUP($A319,Table,MATCH(M$4,Curves,0))</f>
        <v>5</v>
      </c>
      <c r="N319" s="119" t="n">
        <f aca="false">M319+$N$7</f>
        <v>5</v>
      </c>
      <c r="O319" s="120" t="n">
        <f aca="false">N319</f>
        <v>5</v>
      </c>
      <c r="P319" s="109"/>
      <c r="Q319" s="120" t="n">
        <f aca="false">IF($F$3=1,M319+J319+G319,J319+G319)</f>
        <v>8</v>
      </c>
      <c r="R319" s="120" t="n">
        <f aca="false">IF($F$3=1,N319+K319+H319,K319+H319)</f>
        <v>8</v>
      </c>
      <c r="S319" s="120" t="n">
        <f aca="false">IF($F$3=1,O319+L319+I319,L319+I319)</f>
        <v>6.85</v>
      </c>
      <c r="T319" s="121"/>
      <c r="U319" s="67" t="n">
        <f aca="false">A320-A319</f>
        <v>31</v>
      </c>
      <c r="V319" s="122" t="n">
        <f aca="false">CHOOSE(F$3,A320+24,A319)</f>
        <v>46661</v>
      </c>
      <c r="W319" s="67" t="n">
        <f aca="false">V319-C$3</f>
        <v>735</v>
      </c>
      <c r="X319" s="118" t="n">
        <f aca="false">VLOOKUP($A319,Table,MATCH(X$4,Curves,0))</f>
        <v>2</v>
      </c>
      <c r="Y319" s="123" t="n">
        <f aca="false">1/(1+CHOOSE(F$3,(X320+($K$3/10000))/2,(X319+($K$3/10000))/2))^(2*W319/365.25)</f>
        <v>0.0614415892225484</v>
      </c>
      <c r="Z319" s="67" t="n">
        <f aca="false">IF(AND(mthbeg&lt;=A319,mthend&gt;=A319),1,0)</f>
        <v>0</v>
      </c>
      <c r="AA319" s="67" t="n">
        <f aca="false">U319*Z319</f>
        <v>0</v>
      </c>
      <c r="AC319" s="110" t="n">
        <f aca="false">F319*(H319-I319)</f>
        <v>0</v>
      </c>
      <c r="AD319" s="49"/>
      <c r="AE319" s="124"/>
    </row>
    <row r="320" customFormat="false" ht="12" hidden="false" customHeight="true" outlineLevel="0" collapsed="false">
      <c r="A320" s="115" t="n">
        <f aca="false">EDATE(A319,1)</f>
        <v>46692</v>
      </c>
      <c r="B320" s="116" t="n">
        <f aca="false">'Inputs-Summary'!$B$7</f>
        <v>3017157.21662952</v>
      </c>
      <c r="C320" s="57"/>
      <c r="D320" s="117" t="n">
        <f aca="false">B320+C320</f>
        <v>3017157.21662952</v>
      </c>
      <c r="E320" s="106" t="n">
        <f aca="false">IF(Z320=0,0,IF(AND(Z320=1,$H$3=1),D320*U320,IF($H$3=2,D320,"N/A")))</f>
        <v>0</v>
      </c>
      <c r="F320" s="106" t="n">
        <f aca="false">E320*Y320</f>
        <v>0</v>
      </c>
      <c r="G320" s="118" t="n">
        <f aca="false">VLOOKUP($A320,Table,MATCH(G$4,Curves,0))</f>
        <v>3</v>
      </c>
      <c r="H320" s="119" t="n">
        <f aca="false">G320+$H$7</f>
        <v>3</v>
      </c>
      <c r="I320" s="118" t="n">
        <f aca="false">'Inputs-Summary'!$B$16</f>
        <v>1.85</v>
      </c>
      <c r="J320" s="118" t="n">
        <f aca="false">VLOOKUP($A320,Table,MATCH(J$4,Curves,0))</f>
        <v>5</v>
      </c>
      <c r="K320" s="119" t="n">
        <f aca="false">J320+$K$7</f>
        <v>5</v>
      </c>
      <c r="L320" s="120" t="n">
        <f aca="false">K320</f>
        <v>5</v>
      </c>
      <c r="M320" s="118" t="n">
        <f aca="false">VLOOKUP($A320,Table,MATCH(M$4,Curves,0))</f>
        <v>5</v>
      </c>
      <c r="N320" s="119" t="n">
        <f aca="false">M320+$N$7</f>
        <v>5</v>
      </c>
      <c r="O320" s="120" t="n">
        <f aca="false">N320</f>
        <v>5</v>
      </c>
      <c r="P320" s="109"/>
      <c r="Q320" s="120" t="n">
        <f aca="false">IF($F$3=1,M320+J320+G320,J320+G320)</f>
        <v>8</v>
      </c>
      <c r="R320" s="120" t="n">
        <f aca="false">IF($F$3=1,N320+K320+H320,K320+H320)</f>
        <v>8</v>
      </c>
      <c r="S320" s="120" t="n">
        <f aca="false">IF($F$3=1,O320+L320+I320,L320+I320)</f>
        <v>6.85</v>
      </c>
      <c r="T320" s="121"/>
      <c r="U320" s="67" t="n">
        <f aca="false">A321-A320</f>
        <v>30</v>
      </c>
      <c r="V320" s="122" t="n">
        <f aca="false">CHOOSE(F$3,A321+24,A320)</f>
        <v>46692</v>
      </c>
      <c r="W320" s="67" t="n">
        <f aca="false">V320-C$3</f>
        <v>766</v>
      </c>
      <c r="X320" s="118" t="n">
        <f aca="false">VLOOKUP($A320,Table,MATCH(X$4,Curves,0))</f>
        <v>2</v>
      </c>
      <c r="Y320" s="123" t="n">
        <f aca="false">1/(1+CHOOSE(F$3,(X321+($K$3/10000))/2,(X320+($K$3/10000))/2))^(2*W320/365.25)</f>
        <v>0.0546214943346265</v>
      </c>
      <c r="Z320" s="67" t="n">
        <f aca="false">IF(AND(mthbeg&lt;=A320,mthend&gt;=A320),1,0)</f>
        <v>0</v>
      </c>
      <c r="AA320" s="67" t="n">
        <f aca="false">U320*Z320</f>
        <v>0</v>
      </c>
      <c r="AC320" s="110" t="n">
        <f aca="false">F320*(H320-I320)</f>
        <v>0</v>
      </c>
      <c r="AD320" s="49"/>
      <c r="AE320" s="124"/>
    </row>
    <row r="321" customFormat="false" ht="12" hidden="false" customHeight="true" outlineLevel="0" collapsed="false">
      <c r="A321" s="115" t="n">
        <f aca="false">EDATE(A320,1)</f>
        <v>46722</v>
      </c>
      <c r="B321" s="116" t="n">
        <f aca="false">'Inputs-Summary'!$B$7</f>
        <v>3017157.21662952</v>
      </c>
      <c r="C321" s="57"/>
      <c r="D321" s="117" t="n">
        <f aca="false">B321+C321</f>
        <v>3017157.21662952</v>
      </c>
      <c r="E321" s="106" t="n">
        <f aca="false">IF(Z321=0,0,IF(AND(Z321=1,$H$3=1),D321*U321,IF($H$3=2,D321,"N/A")))</f>
        <v>0</v>
      </c>
      <c r="F321" s="106" t="n">
        <f aca="false">E321*Y321</f>
        <v>0</v>
      </c>
      <c r="G321" s="118" t="n">
        <f aca="false">VLOOKUP($A321,Table,MATCH(G$4,Curves,0))</f>
        <v>3</v>
      </c>
      <c r="H321" s="119" t="n">
        <f aca="false">G321+$H$7</f>
        <v>3</v>
      </c>
      <c r="I321" s="118" t="n">
        <f aca="false">'Inputs-Summary'!$B$16</f>
        <v>1.85</v>
      </c>
      <c r="J321" s="118" t="n">
        <f aca="false">VLOOKUP($A321,Table,MATCH(J$4,Curves,0))</f>
        <v>5</v>
      </c>
      <c r="K321" s="119" t="n">
        <f aca="false">J321+$K$7</f>
        <v>5</v>
      </c>
      <c r="L321" s="120" t="n">
        <f aca="false">K321</f>
        <v>5</v>
      </c>
      <c r="M321" s="118" t="n">
        <f aca="false">VLOOKUP($A321,Table,MATCH(M$4,Curves,0))</f>
        <v>5</v>
      </c>
      <c r="N321" s="119" t="n">
        <f aca="false">M321+$N$7</f>
        <v>5</v>
      </c>
      <c r="O321" s="120" t="n">
        <f aca="false">N321</f>
        <v>5</v>
      </c>
      <c r="P321" s="109"/>
      <c r="Q321" s="120" t="n">
        <f aca="false">IF($F$3=1,M321+J321+G321,J321+G321)</f>
        <v>8</v>
      </c>
      <c r="R321" s="120" t="n">
        <f aca="false">IF($F$3=1,N321+K321+H321,K321+H321)</f>
        <v>8</v>
      </c>
      <c r="S321" s="120" t="n">
        <f aca="false">IF($F$3=1,O321+L321+I321,L321+I321)</f>
        <v>6.85</v>
      </c>
      <c r="T321" s="121"/>
      <c r="U321" s="67" t="n">
        <f aca="false">A322-A321</f>
        <v>31</v>
      </c>
      <c r="V321" s="122" t="n">
        <f aca="false">CHOOSE(F$3,A322+24,A321)</f>
        <v>46722</v>
      </c>
      <c r="W321" s="67" t="n">
        <f aca="false">V321-C$3</f>
        <v>796</v>
      </c>
      <c r="X321" s="118" t="n">
        <f aca="false">VLOOKUP($A321,Table,MATCH(X$4,Curves,0))</f>
        <v>2</v>
      </c>
      <c r="Y321" s="123" t="n">
        <f aca="false">1/(1+CHOOSE(F$3,(X322+($K$3/10000))/2,(X321+($K$3/10000))/2))^(2*W321/365.25)</f>
        <v>0.0487430908468938</v>
      </c>
      <c r="Z321" s="67" t="n">
        <f aca="false">IF(AND(mthbeg&lt;=A321,mthend&gt;=A321),1,0)</f>
        <v>0</v>
      </c>
      <c r="AA321" s="67" t="n">
        <f aca="false">U321*Z321</f>
        <v>0</v>
      </c>
      <c r="AC321" s="110" t="n">
        <f aca="false">F321*(H321-I321)</f>
        <v>0</v>
      </c>
      <c r="AD321" s="49"/>
      <c r="AE321" s="124"/>
    </row>
    <row r="322" customFormat="false" ht="12" hidden="false" customHeight="true" outlineLevel="0" collapsed="false">
      <c r="A322" s="115" t="n">
        <f aca="false">EDATE(A321,1)</f>
        <v>46753</v>
      </c>
      <c r="B322" s="116" t="n">
        <f aca="false">'Inputs-Summary'!$B$7</f>
        <v>3017157.21662952</v>
      </c>
      <c r="C322" s="57"/>
      <c r="D322" s="117" t="n">
        <f aca="false">B322+C322</f>
        <v>3017157.21662952</v>
      </c>
      <c r="E322" s="106" t="n">
        <f aca="false">IF(Z322=0,0,IF(AND(Z322=1,$H$3=1),D322*U322,IF($H$3=2,D322,"N/A")))</f>
        <v>0</v>
      </c>
      <c r="F322" s="106" t="n">
        <f aca="false">E322*Y322</f>
        <v>0</v>
      </c>
      <c r="G322" s="118" t="n">
        <f aca="false">VLOOKUP($A322,Table,MATCH(G$4,Curves,0))</f>
        <v>3</v>
      </c>
      <c r="H322" s="119" t="n">
        <f aca="false">G322+$H$7</f>
        <v>3</v>
      </c>
      <c r="I322" s="118" t="n">
        <f aca="false">'Inputs-Summary'!$B$16</f>
        <v>1.85</v>
      </c>
      <c r="J322" s="118" t="n">
        <f aca="false">VLOOKUP($A322,Table,MATCH(J$4,Curves,0))</f>
        <v>5</v>
      </c>
      <c r="K322" s="119" t="n">
        <f aca="false">J322+$K$7</f>
        <v>5</v>
      </c>
      <c r="L322" s="120" t="n">
        <f aca="false">K322</f>
        <v>5</v>
      </c>
      <c r="M322" s="118" t="n">
        <f aca="false">VLOOKUP($A322,Table,MATCH(M$4,Curves,0))</f>
        <v>5</v>
      </c>
      <c r="N322" s="119" t="n">
        <f aca="false">M322+$N$7</f>
        <v>5</v>
      </c>
      <c r="O322" s="120" t="n">
        <f aca="false">N322</f>
        <v>5</v>
      </c>
      <c r="P322" s="109"/>
      <c r="Q322" s="120" t="n">
        <f aca="false">IF($F$3=1,M322+J322+G322,J322+G322)</f>
        <v>8</v>
      </c>
      <c r="R322" s="120" t="n">
        <f aca="false">IF($F$3=1,N322+K322+H322,K322+H322)</f>
        <v>8</v>
      </c>
      <c r="S322" s="120" t="n">
        <f aca="false">IF($F$3=1,O322+L322+I322,L322+I322)</f>
        <v>6.85</v>
      </c>
      <c r="T322" s="121"/>
      <c r="U322" s="67" t="n">
        <f aca="false">A323-A322</f>
        <v>31</v>
      </c>
      <c r="V322" s="122" t="n">
        <f aca="false">CHOOSE(F$3,A323+24,A322)</f>
        <v>46753</v>
      </c>
      <c r="W322" s="67" t="n">
        <f aca="false">V322-C$3</f>
        <v>827</v>
      </c>
      <c r="X322" s="118" t="n">
        <f aca="false">VLOOKUP($A322,Table,MATCH(X$4,Curves,0))</f>
        <v>2</v>
      </c>
      <c r="Y322" s="123" t="n">
        <f aca="false">1/(1+CHOOSE(F$3,(X323+($K$3/10000))/2,(X322+($K$3/10000))/2))^(2*W322/365.25)</f>
        <v>0.0433325454994696</v>
      </c>
      <c r="Z322" s="67" t="n">
        <f aca="false">IF(AND(mthbeg&lt;=A322,mthend&gt;=A322),1,0)</f>
        <v>0</v>
      </c>
      <c r="AA322" s="67" t="n">
        <f aca="false">U322*Z322</f>
        <v>0</v>
      </c>
      <c r="AC322" s="110" t="n">
        <f aca="false">F322*(H322-I322)</f>
        <v>0</v>
      </c>
      <c r="AD322" s="49"/>
      <c r="AE322" s="124"/>
    </row>
    <row r="323" customFormat="false" ht="12" hidden="false" customHeight="true" outlineLevel="0" collapsed="false">
      <c r="A323" s="115" t="n">
        <f aca="false">EDATE(A322,1)</f>
        <v>46784</v>
      </c>
      <c r="B323" s="116" t="n">
        <f aca="false">'Inputs-Summary'!$B$7</f>
        <v>3017157.21662952</v>
      </c>
      <c r="C323" s="57"/>
      <c r="D323" s="117" t="n">
        <f aca="false">B323+C323</f>
        <v>3017157.21662952</v>
      </c>
      <c r="E323" s="106" t="n">
        <f aca="false">IF(Z323=0,0,IF(AND(Z323=1,$H$3=1),D323*U323,IF($H$3=2,D323,"N/A")))</f>
        <v>0</v>
      </c>
      <c r="F323" s="106" t="n">
        <f aca="false">E323*Y323</f>
        <v>0</v>
      </c>
      <c r="G323" s="118" t="n">
        <f aca="false">VLOOKUP($A323,Table,MATCH(G$4,Curves,0))</f>
        <v>3</v>
      </c>
      <c r="H323" s="119" t="n">
        <f aca="false">G323+$H$7</f>
        <v>3</v>
      </c>
      <c r="I323" s="118" t="n">
        <f aca="false">'Inputs-Summary'!$B$16</f>
        <v>1.85</v>
      </c>
      <c r="J323" s="118" t="n">
        <f aca="false">VLOOKUP($A323,Table,MATCH(J$4,Curves,0))</f>
        <v>5</v>
      </c>
      <c r="K323" s="119" t="n">
        <f aca="false">J323+$K$7</f>
        <v>5</v>
      </c>
      <c r="L323" s="120" t="n">
        <f aca="false">K323</f>
        <v>5</v>
      </c>
      <c r="M323" s="118" t="n">
        <f aca="false">VLOOKUP($A323,Table,MATCH(M$4,Curves,0))</f>
        <v>5</v>
      </c>
      <c r="N323" s="119" t="n">
        <f aca="false">M323+$N$7</f>
        <v>5</v>
      </c>
      <c r="O323" s="120" t="n">
        <f aca="false">N323</f>
        <v>5</v>
      </c>
      <c r="P323" s="109"/>
      <c r="Q323" s="120" t="n">
        <f aca="false">IF($F$3=1,M323+J323+G323,J323+G323)</f>
        <v>8</v>
      </c>
      <c r="R323" s="120" t="n">
        <f aca="false">IF($F$3=1,N323+K323+H323,K323+H323)</f>
        <v>8</v>
      </c>
      <c r="S323" s="120" t="n">
        <f aca="false">IF($F$3=1,O323+L323+I323,L323+I323)</f>
        <v>6.85</v>
      </c>
      <c r="T323" s="121"/>
      <c r="U323" s="67" t="n">
        <f aca="false">A324-A323</f>
        <v>29</v>
      </c>
      <c r="V323" s="122" t="n">
        <f aca="false">CHOOSE(F$3,A324+24,A323)</f>
        <v>46784</v>
      </c>
      <c r="W323" s="67" t="n">
        <f aca="false">V323-C$3</f>
        <v>858</v>
      </c>
      <c r="X323" s="118" t="n">
        <f aca="false">VLOOKUP($A323,Table,MATCH(X$4,Curves,0))</f>
        <v>2</v>
      </c>
      <c r="Y323" s="123" t="n">
        <f aca="false">1/(1+CHOOSE(F$3,(X324+($K$3/10000))/2,(X323+($K$3/10000))/2))^(2*W323/365.25)</f>
        <v>0.0385225775969284</v>
      </c>
      <c r="Z323" s="67" t="n">
        <f aca="false">IF(AND(mthbeg&lt;=A323,mthend&gt;=A323),1,0)</f>
        <v>0</v>
      </c>
      <c r="AA323" s="67" t="n">
        <f aca="false">U323*Z323</f>
        <v>0</v>
      </c>
      <c r="AC323" s="110" t="n">
        <f aca="false">F323*(H323-I323)</f>
        <v>0</v>
      </c>
      <c r="AD323" s="49"/>
      <c r="AE323" s="124"/>
    </row>
    <row r="324" customFormat="false" ht="12" hidden="false" customHeight="true" outlineLevel="0" collapsed="false">
      <c r="A324" s="115" t="n">
        <f aca="false">EDATE(A323,1)</f>
        <v>46813</v>
      </c>
      <c r="B324" s="116" t="n">
        <f aca="false">'Inputs-Summary'!$B$7</f>
        <v>3017157.21662952</v>
      </c>
      <c r="C324" s="57"/>
      <c r="D324" s="117" t="n">
        <f aca="false">B324+C324</f>
        <v>3017157.21662952</v>
      </c>
      <c r="E324" s="106" t="n">
        <f aca="false">IF(Z324=0,0,IF(AND(Z324=1,$H$3=1),D324*U324,IF($H$3=2,D324,"N/A")))</f>
        <v>0</v>
      </c>
      <c r="F324" s="106" t="n">
        <f aca="false">E324*Y324</f>
        <v>0</v>
      </c>
      <c r="G324" s="118" t="n">
        <f aca="false">VLOOKUP($A324,Table,MATCH(G$4,Curves,0))</f>
        <v>3</v>
      </c>
      <c r="H324" s="119" t="n">
        <f aca="false">G324+$H$7</f>
        <v>3</v>
      </c>
      <c r="I324" s="118" t="n">
        <f aca="false">'Inputs-Summary'!$B$16</f>
        <v>1.85</v>
      </c>
      <c r="J324" s="118" t="n">
        <f aca="false">VLOOKUP($A324,Table,MATCH(J$4,Curves,0))</f>
        <v>5</v>
      </c>
      <c r="K324" s="119" t="n">
        <f aca="false">J324+$K$7</f>
        <v>5</v>
      </c>
      <c r="L324" s="120" t="n">
        <f aca="false">K324</f>
        <v>5</v>
      </c>
      <c r="M324" s="118" t="n">
        <f aca="false">VLOOKUP($A324,Table,MATCH(M$4,Curves,0))</f>
        <v>5</v>
      </c>
      <c r="N324" s="119" t="n">
        <f aca="false">M324+$N$7</f>
        <v>5</v>
      </c>
      <c r="O324" s="120" t="n">
        <f aca="false">N324</f>
        <v>5</v>
      </c>
      <c r="P324" s="109"/>
      <c r="Q324" s="120" t="n">
        <f aca="false">IF($F$3=1,M324+J324+G324,J324+G324)</f>
        <v>8</v>
      </c>
      <c r="R324" s="120" t="n">
        <f aca="false">IF($F$3=1,N324+K324+H324,K324+H324)</f>
        <v>8</v>
      </c>
      <c r="S324" s="120" t="n">
        <f aca="false">IF($F$3=1,O324+L324+I324,L324+I324)</f>
        <v>6.85</v>
      </c>
      <c r="T324" s="121"/>
      <c r="U324" s="67" t="n">
        <f aca="false">A325-A324</f>
        <v>31</v>
      </c>
      <c r="V324" s="122" t="n">
        <f aca="false">CHOOSE(F$3,A325+24,A324)</f>
        <v>46813</v>
      </c>
      <c r="W324" s="67" t="n">
        <f aca="false">V324-C$3</f>
        <v>887</v>
      </c>
      <c r="X324" s="118" t="n">
        <f aca="false">VLOOKUP($A324,Table,MATCH(X$4,Curves,0))</f>
        <v>2</v>
      </c>
      <c r="Y324" s="123" t="n">
        <f aca="false">1/(1+CHOOSE(F$3,(X325+($K$3/10000))/2,(X324+($K$3/10000))/2))^(2*W324/365.25)</f>
        <v>0.0345074745561734</v>
      </c>
      <c r="Z324" s="67" t="n">
        <f aca="false">IF(AND(mthbeg&lt;=A324,mthend&gt;=A324),1,0)</f>
        <v>0</v>
      </c>
      <c r="AA324" s="67" t="n">
        <f aca="false">U324*Z324</f>
        <v>0</v>
      </c>
      <c r="AC324" s="110" t="n">
        <f aca="false">F324*(H324-I324)</f>
        <v>0</v>
      </c>
      <c r="AD324" s="49"/>
      <c r="AE324" s="124"/>
    </row>
    <row r="325" customFormat="false" ht="12" hidden="false" customHeight="true" outlineLevel="0" collapsed="false">
      <c r="A325" s="115" t="n">
        <f aca="false">EDATE(A324,1)</f>
        <v>46844</v>
      </c>
      <c r="B325" s="116" t="n">
        <f aca="false">'Inputs-Summary'!$B$7</f>
        <v>3017157.21662952</v>
      </c>
      <c r="C325" s="57"/>
      <c r="D325" s="117" t="n">
        <f aca="false">B325+C325</f>
        <v>3017157.21662952</v>
      </c>
      <c r="E325" s="106" t="n">
        <f aca="false">IF(Z325=0,0,IF(AND(Z325=1,$H$3=1),D325*U325,IF($H$3=2,D325,"N/A")))</f>
        <v>0</v>
      </c>
      <c r="F325" s="106" t="n">
        <f aca="false">E325*Y325</f>
        <v>0</v>
      </c>
      <c r="G325" s="118" t="n">
        <f aca="false">VLOOKUP($A325,Table,MATCH(G$4,Curves,0))</f>
        <v>3</v>
      </c>
      <c r="H325" s="119" t="n">
        <f aca="false">G325+$H$7</f>
        <v>3</v>
      </c>
      <c r="I325" s="118" t="n">
        <f aca="false">'Inputs-Summary'!$B$16</f>
        <v>1.85</v>
      </c>
      <c r="J325" s="118" t="n">
        <f aca="false">VLOOKUP($A325,Table,MATCH(J$4,Curves,0))</f>
        <v>5</v>
      </c>
      <c r="K325" s="119" t="n">
        <f aca="false">J325+$K$7</f>
        <v>5</v>
      </c>
      <c r="L325" s="120" t="n">
        <f aca="false">K325</f>
        <v>5</v>
      </c>
      <c r="M325" s="118" t="n">
        <f aca="false">VLOOKUP($A325,Table,MATCH(M$4,Curves,0))</f>
        <v>5</v>
      </c>
      <c r="N325" s="119" t="n">
        <f aca="false">M325+$N$7</f>
        <v>5</v>
      </c>
      <c r="O325" s="120" t="n">
        <f aca="false">N325</f>
        <v>5</v>
      </c>
      <c r="P325" s="109"/>
      <c r="Q325" s="120" t="n">
        <f aca="false">IF($F$3=1,M325+J325+G325,J325+G325)</f>
        <v>8</v>
      </c>
      <c r="R325" s="120" t="n">
        <f aca="false">IF($F$3=1,N325+K325+H325,K325+H325)</f>
        <v>8</v>
      </c>
      <c r="S325" s="120" t="n">
        <f aca="false">IF($F$3=1,O325+L325+I325,L325+I325)</f>
        <v>6.85</v>
      </c>
      <c r="T325" s="121"/>
      <c r="U325" s="67" t="n">
        <f aca="false">A326-A325</f>
        <v>30</v>
      </c>
      <c r="V325" s="122" t="n">
        <f aca="false">CHOOSE(F$3,A326+24,A325)</f>
        <v>46844</v>
      </c>
      <c r="W325" s="67" t="n">
        <f aca="false">V325-C$3</f>
        <v>918</v>
      </c>
      <c r="X325" s="118" t="n">
        <f aca="false">VLOOKUP($A325,Table,MATCH(X$4,Curves,0))</f>
        <v>2</v>
      </c>
      <c r="Y325" s="123" t="n">
        <f aca="false">1/(1+CHOOSE(F$3,(X326+($K$3/10000))/2,(X325+($K$3/10000))/2))^(2*W325/365.25)</f>
        <v>0.0306771008013018</v>
      </c>
      <c r="Z325" s="67" t="n">
        <f aca="false">IF(AND(mthbeg&lt;=A325,mthend&gt;=A325),1,0)</f>
        <v>0</v>
      </c>
      <c r="AA325" s="67" t="n">
        <f aca="false">U325*Z325</f>
        <v>0</v>
      </c>
      <c r="AC325" s="110" t="n">
        <f aca="false">F325*(H325-I325)</f>
        <v>0</v>
      </c>
      <c r="AD325" s="49"/>
      <c r="AE325" s="124"/>
    </row>
    <row r="326" customFormat="false" ht="12" hidden="false" customHeight="true" outlineLevel="0" collapsed="false">
      <c r="A326" s="115" t="n">
        <f aca="false">EDATE(A325,1)</f>
        <v>46874</v>
      </c>
      <c r="B326" s="116" t="n">
        <f aca="false">'Inputs-Summary'!$B$7</f>
        <v>3017157.21662952</v>
      </c>
      <c r="C326" s="57"/>
      <c r="D326" s="117" t="n">
        <f aca="false">B326+C326</f>
        <v>3017157.21662952</v>
      </c>
      <c r="E326" s="106" t="n">
        <f aca="false">IF(Z326=0,0,IF(AND(Z326=1,$H$3=1),D326*U326,IF($H$3=2,D326,"N/A")))</f>
        <v>0</v>
      </c>
      <c r="F326" s="106" t="n">
        <f aca="false">E326*Y326</f>
        <v>0</v>
      </c>
      <c r="G326" s="118" t="n">
        <f aca="false">VLOOKUP($A326,Table,MATCH(G$4,Curves,0))</f>
        <v>3</v>
      </c>
      <c r="H326" s="119" t="n">
        <f aca="false">G326+$H$7</f>
        <v>3</v>
      </c>
      <c r="I326" s="118" t="n">
        <f aca="false">'Inputs-Summary'!$B$16</f>
        <v>1.85</v>
      </c>
      <c r="J326" s="118" t="n">
        <f aca="false">VLOOKUP($A326,Table,MATCH(J$4,Curves,0))</f>
        <v>5</v>
      </c>
      <c r="K326" s="119" t="n">
        <f aca="false">J326+$K$7</f>
        <v>5</v>
      </c>
      <c r="L326" s="120" t="n">
        <f aca="false">K326</f>
        <v>5</v>
      </c>
      <c r="M326" s="118" t="n">
        <f aca="false">VLOOKUP($A326,Table,MATCH(M$4,Curves,0))</f>
        <v>5</v>
      </c>
      <c r="N326" s="119" t="n">
        <f aca="false">M326+$N$7</f>
        <v>5</v>
      </c>
      <c r="O326" s="120" t="n">
        <f aca="false">N326</f>
        <v>5</v>
      </c>
      <c r="P326" s="109"/>
      <c r="Q326" s="120" t="n">
        <f aca="false">IF($F$3=1,M326+J326+G326,J326+G326)</f>
        <v>8</v>
      </c>
      <c r="R326" s="120" t="n">
        <f aca="false">IF($F$3=1,N326+K326+H326,K326+H326)</f>
        <v>8</v>
      </c>
      <c r="S326" s="120" t="n">
        <f aca="false">IF($F$3=1,O326+L326+I326,L326+I326)</f>
        <v>6.85</v>
      </c>
      <c r="T326" s="121"/>
      <c r="U326" s="67" t="n">
        <f aca="false">A327-A326</f>
        <v>31</v>
      </c>
      <c r="V326" s="122" t="n">
        <f aca="false">CHOOSE(F$3,A327+24,A326)</f>
        <v>46874</v>
      </c>
      <c r="W326" s="67" t="n">
        <f aca="false">V326-C$3</f>
        <v>948</v>
      </c>
      <c r="X326" s="118" t="n">
        <f aca="false">VLOOKUP($A326,Table,MATCH(X$4,Curves,0))</f>
        <v>2</v>
      </c>
      <c r="Y326" s="123" t="n">
        <f aca="false">1/(1+CHOOSE(F$3,(X327+($K$3/10000))/2,(X326+($K$3/10000))/2))^(2*W326/365.25)</f>
        <v>0.0273756097209016</v>
      </c>
      <c r="Z326" s="67" t="n">
        <f aca="false">IF(AND(mthbeg&lt;=A326,mthend&gt;=A326),1,0)</f>
        <v>0</v>
      </c>
      <c r="AA326" s="67" t="n">
        <f aca="false">U326*Z326</f>
        <v>0</v>
      </c>
      <c r="AC326" s="110" t="n">
        <f aca="false">F326*(H326-I326)</f>
        <v>0</v>
      </c>
      <c r="AD326" s="49"/>
      <c r="AE326" s="124"/>
    </row>
    <row r="327" customFormat="false" ht="12" hidden="false" customHeight="true" outlineLevel="0" collapsed="false">
      <c r="A327" s="115" t="n">
        <f aca="false">EDATE(A326,1)</f>
        <v>46905</v>
      </c>
      <c r="B327" s="116" t="n">
        <f aca="false">'Inputs-Summary'!$B$7</f>
        <v>3017157.21662952</v>
      </c>
      <c r="C327" s="57"/>
      <c r="D327" s="117" t="n">
        <f aca="false">B327+C327</f>
        <v>3017157.21662952</v>
      </c>
      <c r="E327" s="106" t="n">
        <f aca="false">IF(Z327=0,0,IF(AND(Z327=1,$H$3=1),D327*U327,IF($H$3=2,D327,"N/A")))</f>
        <v>0</v>
      </c>
      <c r="F327" s="106" t="n">
        <f aca="false">E327*Y327</f>
        <v>0</v>
      </c>
      <c r="G327" s="118" t="n">
        <f aca="false">VLOOKUP($A327,Table,MATCH(G$4,Curves,0))</f>
        <v>3</v>
      </c>
      <c r="H327" s="119" t="n">
        <f aca="false">G327+$H$7</f>
        <v>3</v>
      </c>
      <c r="I327" s="118" t="n">
        <f aca="false">'Inputs-Summary'!$B$16</f>
        <v>1.85</v>
      </c>
      <c r="J327" s="118" t="n">
        <f aca="false">VLOOKUP($A327,Table,MATCH(J$4,Curves,0))</f>
        <v>5</v>
      </c>
      <c r="K327" s="119" t="n">
        <f aca="false">J327+$K$7</f>
        <v>5</v>
      </c>
      <c r="L327" s="120" t="n">
        <f aca="false">K327</f>
        <v>5</v>
      </c>
      <c r="M327" s="118" t="n">
        <f aca="false">VLOOKUP($A327,Table,MATCH(M$4,Curves,0))</f>
        <v>5</v>
      </c>
      <c r="N327" s="119" t="n">
        <f aca="false">M327+$N$7</f>
        <v>5</v>
      </c>
      <c r="O327" s="120" t="n">
        <f aca="false">N327</f>
        <v>5</v>
      </c>
      <c r="P327" s="109"/>
      <c r="Q327" s="120" t="n">
        <f aca="false">IF($F$3=1,M327+J327+G327,J327+G327)</f>
        <v>8</v>
      </c>
      <c r="R327" s="120" t="n">
        <f aca="false">IF($F$3=1,N327+K327+H327,K327+H327)</f>
        <v>8</v>
      </c>
      <c r="S327" s="120" t="n">
        <f aca="false">IF($F$3=1,O327+L327+I327,L327+I327)</f>
        <v>6.85</v>
      </c>
      <c r="T327" s="121"/>
      <c r="U327" s="67" t="n">
        <f aca="false">A328-A327</f>
        <v>30</v>
      </c>
      <c r="V327" s="122" t="n">
        <f aca="false">CHOOSE(F$3,A328+24,A327)</f>
        <v>46905</v>
      </c>
      <c r="W327" s="67" t="n">
        <f aca="false">V327-C$3</f>
        <v>979</v>
      </c>
      <c r="X327" s="118" t="n">
        <f aca="false">VLOOKUP($A327,Table,MATCH(X$4,Curves,0))</f>
        <v>2</v>
      </c>
      <c r="Y327" s="123" t="n">
        <f aca="false">1/(1+CHOOSE(F$3,(X328+($K$3/10000))/2,(X327+($K$3/10000))/2))^(2*W327/365.25)</f>
        <v>0.0243368820728422</v>
      </c>
      <c r="Z327" s="67" t="n">
        <f aca="false">IF(AND(mthbeg&lt;=A327,mthend&gt;=A327),1,0)</f>
        <v>0</v>
      </c>
      <c r="AA327" s="67" t="n">
        <f aca="false">U327*Z327</f>
        <v>0</v>
      </c>
      <c r="AC327" s="110" t="n">
        <f aca="false">F327*(H327-I327)</f>
        <v>0</v>
      </c>
      <c r="AD327" s="49"/>
      <c r="AE327" s="124"/>
    </row>
    <row r="328" customFormat="false" ht="12" hidden="false" customHeight="true" outlineLevel="0" collapsed="false">
      <c r="A328" s="115" t="n">
        <f aca="false">EDATE(A327,1)</f>
        <v>46935</v>
      </c>
      <c r="B328" s="116" t="n">
        <f aca="false">'Inputs-Summary'!$B$7</f>
        <v>3017157.21662952</v>
      </c>
      <c r="C328" s="57"/>
      <c r="D328" s="117" t="n">
        <f aca="false">B328+C328</f>
        <v>3017157.21662952</v>
      </c>
      <c r="E328" s="106" t="n">
        <f aca="false">IF(Z328=0,0,IF(AND(Z328=1,$H$3=1),D328*U328,IF($H$3=2,D328,"N/A")))</f>
        <v>0</v>
      </c>
      <c r="F328" s="106" t="n">
        <f aca="false">E328*Y328</f>
        <v>0</v>
      </c>
      <c r="G328" s="118" t="n">
        <f aca="false">VLOOKUP($A328,Table,MATCH(G$4,Curves,0))</f>
        <v>3</v>
      </c>
      <c r="H328" s="119" t="n">
        <f aca="false">G328+$H$7</f>
        <v>3</v>
      </c>
      <c r="I328" s="118" t="n">
        <f aca="false">'Inputs-Summary'!$B$16</f>
        <v>1.85</v>
      </c>
      <c r="J328" s="118" t="n">
        <f aca="false">VLOOKUP($A328,Table,MATCH(J$4,Curves,0))</f>
        <v>5</v>
      </c>
      <c r="K328" s="119" t="n">
        <f aca="false">J328+$K$7</f>
        <v>5</v>
      </c>
      <c r="L328" s="120" t="n">
        <f aca="false">K328</f>
        <v>5</v>
      </c>
      <c r="M328" s="118" t="n">
        <f aca="false">VLOOKUP($A328,Table,MATCH(M$4,Curves,0))</f>
        <v>5</v>
      </c>
      <c r="N328" s="119" t="n">
        <f aca="false">M328+$N$7</f>
        <v>5</v>
      </c>
      <c r="O328" s="120" t="n">
        <f aca="false">N328</f>
        <v>5</v>
      </c>
      <c r="P328" s="109"/>
      <c r="Q328" s="120" t="n">
        <f aca="false">IF($F$3=1,M328+J328+G328,J328+G328)</f>
        <v>8</v>
      </c>
      <c r="R328" s="120" t="n">
        <f aca="false">IF($F$3=1,N328+K328+H328,K328+H328)</f>
        <v>8</v>
      </c>
      <c r="S328" s="120" t="n">
        <f aca="false">IF($F$3=1,O328+L328+I328,L328+I328)</f>
        <v>6.85</v>
      </c>
      <c r="T328" s="121"/>
      <c r="U328" s="67" t="n">
        <f aca="false">A329-A328</f>
        <v>31</v>
      </c>
      <c r="V328" s="122" t="n">
        <f aca="false">CHOOSE(F$3,A329+24,A328)</f>
        <v>46935</v>
      </c>
      <c r="W328" s="67" t="n">
        <f aca="false">V328-C$3</f>
        <v>1009</v>
      </c>
      <c r="X328" s="118" t="n">
        <f aca="false">VLOOKUP($A328,Table,MATCH(X$4,Curves,0))</f>
        <v>2</v>
      </c>
      <c r="Y328" s="123" t="n">
        <f aca="false">1/(1+CHOOSE(F$3,(X329+($K$3/10000))/2,(X328+($K$3/10000))/2))^(2*W328/365.25)</f>
        <v>0.0217177297739121</v>
      </c>
      <c r="Z328" s="67" t="n">
        <f aca="false">IF(AND(mthbeg&lt;=A328,mthend&gt;=A328),1,0)</f>
        <v>0</v>
      </c>
      <c r="AA328" s="67" t="n">
        <f aca="false">U328*Z328</f>
        <v>0</v>
      </c>
      <c r="AC328" s="110" t="n">
        <f aca="false">F328*(H328-I328)</f>
        <v>0</v>
      </c>
      <c r="AD328" s="49"/>
      <c r="AE328" s="124"/>
    </row>
    <row r="329" customFormat="false" ht="12" hidden="false" customHeight="true" outlineLevel="0" collapsed="false">
      <c r="A329" s="115" t="n">
        <f aca="false">EDATE(A328,1)</f>
        <v>46966</v>
      </c>
      <c r="B329" s="116" t="n">
        <f aca="false">'Inputs-Summary'!$B$7</f>
        <v>3017157.21662952</v>
      </c>
      <c r="C329" s="57"/>
      <c r="D329" s="117" t="n">
        <f aca="false">B329+C329</f>
        <v>3017157.21662952</v>
      </c>
      <c r="E329" s="106" t="n">
        <f aca="false">IF(Z329=0,0,IF(AND(Z329=1,$H$3=1),D329*U329,IF($H$3=2,D329,"N/A")))</f>
        <v>0</v>
      </c>
      <c r="F329" s="106" t="n">
        <f aca="false">E329*Y329</f>
        <v>0</v>
      </c>
      <c r="G329" s="118" t="n">
        <f aca="false">VLOOKUP($A329,Table,MATCH(G$4,Curves,0))</f>
        <v>3</v>
      </c>
      <c r="H329" s="119" t="n">
        <f aca="false">G329+$H$7</f>
        <v>3</v>
      </c>
      <c r="I329" s="118" t="n">
        <f aca="false">'Inputs-Summary'!$B$16</f>
        <v>1.85</v>
      </c>
      <c r="J329" s="118" t="n">
        <f aca="false">VLOOKUP($A329,Table,MATCH(J$4,Curves,0))</f>
        <v>5</v>
      </c>
      <c r="K329" s="119" t="n">
        <f aca="false">J329+$K$7</f>
        <v>5</v>
      </c>
      <c r="L329" s="120" t="n">
        <f aca="false">K329</f>
        <v>5</v>
      </c>
      <c r="M329" s="118" t="n">
        <f aca="false">VLOOKUP($A329,Table,MATCH(M$4,Curves,0))</f>
        <v>5</v>
      </c>
      <c r="N329" s="119" t="n">
        <f aca="false">M329+$N$7</f>
        <v>5</v>
      </c>
      <c r="O329" s="120" t="n">
        <f aca="false">N329</f>
        <v>5</v>
      </c>
      <c r="P329" s="109"/>
      <c r="Q329" s="120" t="n">
        <f aca="false">IF($F$3=1,M329+J329+G329,J329+G329)</f>
        <v>8</v>
      </c>
      <c r="R329" s="120" t="n">
        <f aca="false">IF($F$3=1,N329+K329+H329,K329+H329)</f>
        <v>8</v>
      </c>
      <c r="S329" s="120" t="n">
        <f aca="false">IF($F$3=1,O329+L329+I329,L329+I329)</f>
        <v>6.85</v>
      </c>
      <c r="T329" s="121"/>
      <c r="U329" s="67" t="n">
        <f aca="false">A330-A329</f>
        <v>31</v>
      </c>
      <c r="V329" s="122" t="n">
        <f aca="false">CHOOSE(F$3,A330+24,A329)</f>
        <v>46966</v>
      </c>
      <c r="W329" s="67" t="n">
        <f aca="false">V329-C$3</f>
        <v>1040</v>
      </c>
      <c r="X329" s="118" t="n">
        <f aca="false">VLOOKUP($A329,Table,MATCH(X$4,Curves,0))</f>
        <v>2</v>
      </c>
      <c r="Y329" s="123" t="n">
        <f aca="false">1/(1+CHOOSE(F$3,(X330+($K$3/10000))/2,(X329+($K$3/10000))/2))^(2*W329/365.25)</f>
        <v>0.0193070340272277</v>
      </c>
      <c r="Z329" s="67" t="n">
        <f aca="false">IF(AND(mthbeg&lt;=A329,mthend&gt;=A329),1,0)</f>
        <v>0</v>
      </c>
      <c r="AA329" s="67" t="n">
        <f aca="false">U329*Z329</f>
        <v>0</v>
      </c>
      <c r="AC329" s="110" t="n">
        <f aca="false">F329*(H329-I329)</f>
        <v>0</v>
      </c>
      <c r="AD329" s="49"/>
      <c r="AE329" s="124"/>
    </row>
    <row r="330" customFormat="false" ht="12" hidden="false" customHeight="true" outlineLevel="0" collapsed="false">
      <c r="A330" s="115" t="n">
        <f aca="false">EDATE(A329,1)</f>
        <v>46997</v>
      </c>
      <c r="B330" s="116" t="n">
        <f aca="false">'Inputs-Summary'!$B$7</f>
        <v>3017157.21662952</v>
      </c>
      <c r="C330" s="57"/>
      <c r="D330" s="117" t="n">
        <f aca="false">B330+C330</f>
        <v>3017157.21662952</v>
      </c>
      <c r="E330" s="106" t="n">
        <f aca="false">IF(Z330=0,0,IF(AND(Z330=1,$H$3=1),D330*U330,IF($H$3=2,D330,"N/A")))</f>
        <v>0</v>
      </c>
      <c r="F330" s="106" t="n">
        <f aca="false">E330*Y330</f>
        <v>0</v>
      </c>
      <c r="G330" s="118" t="n">
        <f aca="false">VLOOKUP($A330,Table,MATCH(G$4,Curves,0))</f>
        <v>3</v>
      </c>
      <c r="H330" s="119" t="n">
        <f aca="false">G330+$H$7</f>
        <v>3</v>
      </c>
      <c r="I330" s="118" t="n">
        <f aca="false">'Inputs-Summary'!$B$16</f>
        <v>1.85</v>
      </c>
      <c r="J330" s="118" t="n">
        <f aca="false">VLOOKUP($A330,Table,MATCH(J$4,Curves,0))</f>
        <v>5</v>
      </c>
      <c r="K330" s="119" t="n">
        <f aca="false">J330+$K$7</f>
        <v>5</v>
      </c>
      <c r="L330" s="120" t="n">
        <f aca="false">K330</f>
        <v>5</v>
      </c>
      <c r="M330" s="118" t="n">
        <f aca="false">VLOOKUP($A330,Table,MATCH(M$4,Curves,0))</f>
        <v>5</v>
      </c>
      <c r="N330" s="119" t="n">
        <f aca="false">M330+$N$7</f>
        <v>5</v>
      </c>
      <c r="O330" s="120" t="n">
        <f aca="false">N330</f>
        <v>5</v>
      </c>
      <c r="P330" s="109"/>
      <c r="Q330" s="120" t="n">
        <f aca="false">IF($F$3=1,M330+J330+G330,J330+G330)</f>
        <v>8</v>
      </c>
      <c r="R330" s="120" t="n">
        <f aca="false">IF($F$3=1,N330+K330+H330,K330+H330)</f>
        <v>8</v>
      </c>
      <c r="S330" s="120" t="n">
        <f aca="false">IF($F$3=1,O330+L330+I330,L330+I330)</f>
        <v>6.85</v>
      </c>
      <c r="T330" s="121"/>
      <c r="U330" s="67" t="n">
        <f aca="false">A331-A330</f>
        <v>30</v>
      </c>
      <c r="V330" s="122" t="n">
        <f aca="false">CHOOSE(F$3,A331+24,A330)</f>
        <v>46997</v>
      </c>
      <c r="W330" s="67" t="n">
        <f aca="false">V330-C$3</f>
        <v>1071</v>
      </c>
      <c r="X330" s="118" t="n">
        <f aca="false">VLOOKUP($A330,Table,MATCH(X$4,Curves,0))</f>
        <v>2</v>
      </c>
      <c r="Y330" s="123" t="n">
        <f aca="false">1/(1+CHOOSE(F$3,(X331+($K$3/10000))/2,(X330+($K$3/10000))/2))^(2*W330/365.25)</f>
        <v>0.0171639285877983</v>
      </c>
      <c r="Z330" s="67" t="n">
        <f aca="false">IF(AND(mthbeg&lt;=A330,mthend&gt;=A330),1,0)</f>
        <v>0</v>
      </c>
      <c r="AA330" s="67" t="n">
        <f aca="false">U330*Z330</f>
        <v>0</v>
      </c>
      <c r="AC330" s="110" t="n">
        <f aca="false">F330*(H330-I330)</f>
        <v>0</v>
      </c>
      <c r="AD330" s="49"/>
      <c r="AE330" s="124"/>
    </row>
    <row r="331" customFormat="false" ht="12" hidden="false" customHeight="true" outlineLevel="0" collapsed="false">
      <c r="A331" s="115" t="n">
        <f aca="false">EDATE(A330,1)</f>
        <v>47027</v>
      </c>
      <c r="B331" s="116" t="n">
        <f aca="false">'Inputs-Summary'!$B$7</f>
        <v>3017157.21662952</v>
      </c>
      <c r="C331" s="57"/>
      <c r="D331" s="117" t="n">
        <f aca="false">B331+C331</f>
        <v>3017157.21662952</v>
      </c>
      <c r="E331" s="106" t="n">
        <f aca="false">IF(Z331=0,0,IF(AND(Z331=1,$H$3=1),D331*U331,IF($H$3=2,D331,"N/A")))</f>
        <v>0</v>
      </c>
      <c r="F331" s="106" t="n">
        <f aca="false">E331*Y331</f>
        <v>0</v>
      </c>
      <c r="G331" s="118" t="n">
        <f aca="false">VLOOKUP($A331,Table,MATCH(G$4,Curves,0))</f>
        <v>3</v>
      </c>
      <c r="H331" s="119" t="n">
        <f aca="false">G331+$H$7</f>
        <v>3</v>
      </c>
      <c r="I331" s="118" t="n">
        <f aca="false">'Inputs-Summary'!$B$16</f>
        <v>1.85</v>
      </c>
      <c r="J331" s="118" t="n">
        <f aca="false">VLOOKUP($A331,Table,MATCH(J$4,Curves,0))</f>
        <v>5</v>
      </c>
      <c r="K331" s="119" t="n">
        <f aca="false">J331+$K$7</f>
        <v>5</v>
      </c>
      <c r="L331" s="120" t="n">
        <f aca="false">K331</f>
        <v>5</v>
      </c>
      <c r="M331" s="118" t="n">
        <f aca="false">VLOOKUP($A331,Table,MATCH(M$4,Curves,0))</f>
        <v>5</v>
      </c>
      <c r="N331" s="119" t="n">
        <f aca="false">M331+$N$7</f>
        <v>5</v>
      </c>
      <c r="O331" s="120" t="n">
        <f aca="false">N331</f>
        <v>5</v>
      </c>
      <c r="P331" s="109"/>
      <c r="Q331" s="120" t="n">
        <f aca="false">IF($F$3=1,M331+J331+G331,J331+G331)</f>
        <v>8</v>
      </c>
      <c r="R331" s="120" t="n">
        <f aca="false">IF($F$3=1,N331+K331+H331,K331+H331)</f>
        <v>8</v>
      </c>
      <c r="S331" s="120" t="n">
        <f aca="false">IF($F$3=1,O331+L331+I331,L331+I331)</f>
        <v>6.85</v>
      </c>
      <c r="T331" s="121"/>
      <c r="U331" s="67" t="n">
        <f aca="false">A332-A331</f>
        <v>31</v>
      </c>
      <c r="V331" s="122" t="n">
        <f aca="false">CHOOSE(F$3,A332+24,A331)</f>
        <v>47027</v>
      </c>
      <c r="W331" s="67" t="n">
        <f aca="false">V331-C$3</f>
        <v>1101</v>
      </c>
      <c r="X331" s="118" t="n">
        <f aca="false">VLOOKUP($A331,Table,MATCH(X$4,Curves,0))</f>
        <v>2</v>
      </c>
      <c r="Y331" s="123" t="n">
        <f aca="false">1/(1+CHOOSE(F$3,(X332+($K$3/10000))/2,(X331+($K$3/10000))/2))^(2*W331/365.25)</f>
        <v>0.0153167345682501</v>
      </c>
      <c r="Z331" s="67" t="n">
        <f aca="false">IF(AND(mthbeg&lt;=A331,mthend&gt;=A331),1,0)</f>
        <v>0</v>
      </c>
      <c r="AA331" s="67" t="n">
        <f aca="false">U331*Z331</f>
        <v>0</v>
      </c>
      <c r="AC331" s="110" t="n">
        <f aca="false">F331*(H331-I331)</f>
        <v>0</v>
      </c>
      <c r="AD331" s="49"/>
      <c r="AE331" s="124"/>
    </row>
    <row r="332" customFormat="false" ht="12" hidden="false" customHeight="true" outlineLevel="0" collapsed="false">
      <c r="A332" s="115" t="n">
        <f aca="false">EDATE(A331,1)</f>
        <v>47058</v>
      </c>
      <c r="B332" s="116" t="n">
        <f aca="false">'Inputs-Summary'!$B$7</f>
        <v>3017157.21662952</v>
      </c>
      <c r="C332" s="57"/>
      <c r="D332" s="117" t="n">
        <f aca="false">B332+C332</f>
        <v>3017157.21662952</v>
      </c>
      <c r="E332" s="106" t="n">
        <f aca="false">IF(Z332=0,0,IF(AND(Z332=1,$H$3=1),D332*U332,IF($H$3=2,D332,"N/A")))</f>
        <v>0</v>
      </c>
      <c r="F332" s="106" t="n">
        <f aca="false">E332*Y332</f>
        <v>0</v>
      </c>
      <c r="G332" s="118" t="n">
        <f aca="false">VLOOKUP($A332,Table,MATCH(G$4,Curves,0))</f>
        <v>3</v>
      </c>
      <c r="H332" s="119" t="n">
        <f aca="false">G332+$H$7</f>
        <v>3</v>
      </c>
      <c r="I332" s="118" t="n">
        <f aca="false">'Inputs-Summary'!$B$16</f>
        <v>1.85</v>
      </c>
      <c r="J332" s="118" t="n">
        <f aca="false">VLOOKUP($A332,Table,MATCH(J$4,Curves,0))</f>
        <v>5</v>
      </c>
      <c r="K332" s="119" t="n">
        <f aca="false">J332+$K$7</f>
        <v>5</v>
      </c>
      <c r="L332" s="120" t="n">
        <f aca="false">K332</f>
        <v>5</v>
      </c>
      <c r="M332" s="118" t="n">
        <f aca="false">VLOOKUP($A332,Table,MATCH(M$4,Curves,0))</f>
        <v>5</v>
      </c>
      <c r="N332" s="119" t="n">
        <f aca="false">M332+$N$7</f>
        <v>5</v>
      </c>
      <c r="O332" s="120" t="n">
        <f aca="false">N332</f>
        <v>5</v>
      </c>
      <c r="P332" s="109"/>
      <c r="Q332" s="120" t="n">
        <f aca="false">IF($F$3=1,M332+J332+G332,J332+G332)</f>
        <v>8</v>
      </c>
      <c r="R332" s="120" t="n">
        <f aca="false">IF($F$3=1,N332+K332+H332,K332+H332)</f>
        <v>8</v>
      </c>
      <c r="S332" s="120" t="n">
        <f aca="false">IF($F$3=1,O332+L332+I332,L332+I332)</f>
        <v>6.85</v>
      </c>
      <c r="T332" s="121"/>
      <c r="U332" s="67" t="n">
        <f aca="false">A333-A332</f>
        <v>30</v>
      </c>
      <c r="V332" s="122" t="n">
        <f aca="false">CHOOSE(F$3,A333+24,A332)</f>
        <v>47058</v>
      </c>
      <c r="W332" s="67" t="n">
        <f aca="false">V332-C$3</f>
        <v>1132</v>
      </c>
      <c r="X332" s="118" t="n">
        <f aca="false">VLOOKUP($A332,Table,MATCH(X$4,Curves,0))</f>
        <v>2</v>
      </c>
      <c r="Y332" s="123" t="n">
        <f aca="false">1/(1+CHOOSE(F$3,(X333+($K$3/10000))/2,(X332+($K$3/10000))/2))^(2*W332/365.25)</f>
        <v>0.0136165574658935</v>
      </c>
      <c r="Z332" s="67" t="n">
        <f aca="false">IF(AND(mthbeg&lt;=A332,mthend&gt;=A332),1,0)</f>
        <v>0</v>
      </c>
      <c r="AA332" s="67" t="n">
        <f aca="false">U332*Z332</f>
        <v>0</v>
      </c>
      <c r="AC332" s="110" t="n">
        <f aca="false">F332*(H332-I332)</f>
        <v>0</v>
      </c>
      <c r="AD332" s="49"/>
      <c r="AE332" s="124"/>
    </row>
    <row r="333" customFormat="false" ht="12" hidden="false" customHeight="true" outlineLevel="0" collapsed="false">
      <c r="A333" s="115" t="n">
        <f aca="false">EDATE(A332,1)</f>
        <v>47088</v>
      </c>
      <c r="B333" s="116" t="n">
        <f aca="false">'Inputs-Summary'!$B$7</f>
        <v>3017157.21662952</v>
      </c>
      <c r="C333" s="57"/>
      <c r="D333" s="117" t="n">
        <f aca="false">B333+C333</f>
        <v>3017157.21662952</v>
      </c>
      <c r="E333" s="106" t="n">
        <f aca="false">IF(Z333=0,0,IF(AND(Z333=1,$H$3=1),D333*U333,IF($H$3=2,D333,"N/A")))</f>
        <v>0</v>
      </c>
      <c r="F333" s="106" t="n">
        <f aca="false">E333*Y333</f>
        <v>0</v>
      </c>
      <c r="G333" s="118" t="n">
        <f aca="false">VLOOKUP($A333,Table,MATCH(G$4,Curves,0))</f>
        <v>3</v>
      </c>
      <c r="H333" s="119" t="n">
        <f aca="false">G333+$H$7</f>
        <v>3</v>
      </c>
      <c r="I333" s="118" t="n">
        <f aca="false">'Inputs-Summary'!$B$16</f>
        <v>1.85</v>
      </c>
      <c r="J333" s="118" t="n">
        <f aca="false">VLOOKUP($A333,Table,MATCH(J$4,Curves,0))</f>
        <v>5</v>
      </c>
      <c r="K333" s="119" t="n">
        <f aca="false">J333+$K$7</f>
        <v>5</v>
      </c>
      <c r="L333" s="120" t="n">
        <f aca="false">K333</f>
        <v>5</v>
      </c>
      <c r="M333" s="118" t="n">
        <f aca="false">VLOOKUP($A333,Table,MATCH(M$4,Curves,0))</f>
        <v>5</v>
      </c>
      <c r="N333" s="119" t="n">
        <f aca="false">M333+$N$7</f>
        <v>5</v>
      </c>
      <c r="O333" s="120" t="n">
        <f aca="false">N333</f>
        <v>5</v>
      </c>
      <c r="P333" s="109"/>
      <c r="Q333" s="120" t="n">
        <f aca="false">IF($F$3=1,M333+J333+G333,J333+G333)</f>
        <v>8</v>
      </c>
      <c r="R333" s="120" t="n">
        <f aca="false">IF($F$3=1,N333+K333+H333,K333+H333)</f>
        <v>8</v>
      </c>
      <c r="S333" s="120" t="n">
        <f aca="false">IF($F$3=1,O333+L333+I333,L333+I333)</f>
        <v>6.85</v>
      </c>
      <c r="T333" s="121"/>
      <c r="U333" s="67" t="n">
        <f aca="false">A334-A333</f>
        <v>31</v>
      </c>
      <c r="V333" s="122" t="n">
        <f aca="false">CHOOSE(F$3,A334+24,A333)</f>
        <v>47088</v>
      </c>
      <c r="W333" s="67" t="n">
        <f aca="false">V333-C$3</f>
        <v>1162</v>
      </c>
      <c r="X333" s="118" t="n">
        <f aca="false">VLOOKUP($A333,Table,MATCH(X$4,Curves,0))</f>
        <v>2</v>
      </c>
      <c r="Y333" s="123" t="n">
        <f aca="false">1/(1+CHOOSE(F$3,(X334+($K$3/10000))/2,(X333+($K$3/10000))/2))^(2*W333/365.25)</f>
        <v>0.0121511340117483</v>
      </c>
      <c r="Z333" s="67" t="n">
        <f aca="false">IF(AND(mthbeg&lt;=A333,mthend&gt;=A333),1,0)</f>
        <v>0</v>
      </c>
      <c r="AA333" s="67" t="n">
        <f aca="false">U333*Z333</f>
        <v>0</v>
      </c>
      <c r="AC333" s="110" t="n">
        <f aca="false">F333*(H333-I333)</f>
        <v>0</v>
      </c>
      <c r="AD333" s="49"/>
      <c r="AE333" s="124"/>
    </row>
    <row r="334" customFormat="false" ht="12" hidden="false" customHeight="true" outlineLevel="0" collapsed="false">
      <c r="A334" s="115" t="n">
        <f aca="false">EDATE(A333,1)</f>
        <v>47119</v>
      </c>
      <c r="B334" s="116" t="n">
        <f aca="false">'Inputs-Summary'!$B$7</f>
        <v>3017157.21662952</v>
      </c>
      <c r="C334" s="57"/>
      <c r="D334" s="117" t="n">
        <f aca="false">B334+C334</f>
        <v>3017157.21662952</v>
      </c>
      <c r="E334" s="106" t="n">
        <f aca="false">IF(Z334=0,0,IF(AND(Z334=1,$H$3=1),D334*U334,IF($H$3=2,D334,"N/A")))</f>
        <v>0</v>
      </c>
      <c r="F334" s="106" t="n">
        <f aca="false">E334*Y334</f>
        <v>0</v>
      </c>
      <c r="G334" s="118" t="n">
        <f aca="false">VLOOKUP($A334,Table,MATCH(G$4,Curves,0))</f>
        <v>3</v>
      </c>
      <c r="H334" s="119" t="n">
        <f aca="false">G334+$H$7</f>
        <v>3</v>
      </c>
      <c r="I334" s="118" t="n">
        <f aca="false">'Inputs-Summary'!$B$16</f>
        <v>1.85</v>
      </c>
      <c r="J334" s="118" t="n">
        <f aca="false">VLOOKUP($A334,Table,MATCH(J$4,Curves,0))</f>
        <v>5</v>
      </c>
      <c r="K334" s="119" t="n">
        <f aca="false">J334+$K$7</f>
        <v>5</v>
      </c>
      <c r="L334" s="120" t="n">
        <f aca="false">K334</f>
        <v>5</v>
      </c>
      <c r="M334" s="118" t="n">
        <f aca="false">VLOOKUP($A334,Table,MATCH(M$4,Curves,0))</f>
        <v>5</v>
      </c>
      <c r="N334" s="119" t="n">
        <f aca="false">M334+$N$7</f>
        <v>5</v>
      </c>
      <c r="O334" s="120" t="n">
        <f aca="false">N334</f>
        <v>5</v>
      </c>
      <c r="P334" s="109"/>
      <c r="Q334" s="120" t="n">
        <f aca="false">IF($F$3=1,M334+J334+G334,J334+G334)</f>
        <v>8</v>
      </c>
      <c r="R334" s="120" t="n">
        <f aca="false">IF($F$3=1,N334+K334+H334,K334+H334)</f>
        <v>8</v>
      </c>
      <c r="S334" s="120" t="n">
        <f aca="false">IF($F$3=1,O334+L334+I334,L334+I334)</f>
        <v>6.85</v>
      </c>
      <c r="T334" s="121"/>
      <c r="U334" s="67" t="n">
        <f aca="false">A335-A334</f>
        <v>31</v>
      </c>
      <c r="V334" s="122" t="n">
        <f aca="false">CHOOSE(F$3,A335+24,A334)</f>
        <v>47119</v>
      </c>
      <c r="W334" s="67" t="n">
        <f aca="false">V334-C$3</f>
        <v>1193</v>
      </c>
      <c r="X334" s="118" t="n">
        <f aca="false">VLOOKUP($A334,Table,MATCH(X$4,Curves,0))</f>
        <v>2</v>
      </c>
      <c r="Y334" s="123" t="n">
        <f aca="false">1/(1+CHOOSE(F$3,(X335+($K$3/10000))/2,(X334+($K$3/10000))/2))^(2*W334/365.25)</f>
        <v>0.0108023426148362</v>
      </c>
      <c r="Z334" s="67" t="n">
        <f aca="false">IF(AND(mthbeg&lt;=A334,mthend&gt;=A334),1,0)</f>
        <v>0</v>
      </c>
      <c r="AA334" s="67" t="n">
        <f aca="false">U334*Z334</f>
        <v>0</v>
      </c>
      <c r="AC334" s="110" t="n">
        <f aca="false">F334*(H334-I334)</f>
        <v>0</v>
      </c>
      <c r="AD334" s="49"/>
      <c r="AE334" s="124"/>
    </row>
    <row r="335" customFormat="false" ht="12" hidden="false" customHeight="true" outlineLevel="0" collapsed="false">
      <c r="A335" s="115" t="n">
        <f aca="false">EDATE(A334,1)</f>
        <v>47150</v>
      </c>
      <c r="B335" s="116" t="n">
        <f aca="false">'Inputs-Summary'!$B$7</f>
        <v>3017157.21662952</v>
      </c>
      <c r="C335" s="57"/>
      <c r="D335" s="117" t="n">
        <f aca="false">B335+C335</f>
        <v>3017157.21662952</v>
      </c>
      <c r="E335" s="106" t="n">
        <f aca="false">IF(Z335=0,0,IF(AND(Z335=1,$H$3=1),D335*U335,IF($H$3=2,D335,"N/A")))</f>
        <v>0</v>
      </c>
      <c r="F335" s="106" t="n">
        <f aca="false">E335*Y335</f>
        <v>0</v>
      </c>
      <c r="G335" s="118" t="n">
        <f aca="false">VLOOKUP($A335,Table,MATCH(G$4,Curves,0))</f>
        <v>3</v>
      </c>
      <c r="H335" s="119" t="n">
        <f aca="false">G335+$H$7</f>
        <v>3</v>
      </c>
      <c r="I335" s="118" t="n">
        <f aca="false">'Inputs-Summary'!$B$16</f>
        <v>1.85</v>
      </c>
      <c r="J335" s="118" t="n">
        <f aca="false">VLOOKUP($A335,Table,MATCH(J$4,Curves,0))</f>
        <v>5</v>
      </c>
      <c r="K335" s="119" t="n">
        <f aca="false">J335+$K$7</f>
        <v>5</v>
      </c>
      <c r="L335" s="120" t="n">
        <f aca="false">K335</f>
        <v>5</v>
      </c>
      <c r="M335" s="118" t="n">
        <f aca="false">VLOOKUP($A335,Table,MATCH(M$4,Curves,0))</f>
        <v>5</v>
      </c>
      <c r="N335" s="119" t="n">
        <f aca="false">M335+$N$7</f>
        <v>5</v>
      </c>
      <c r="O335" s="120" t="n">
        <f aca="false">N335</f>
        <v>5</v>
      </c>
      <c r="P335" s="109"/>
      <c r="Q335" s="120" t="n">
        <f aca="false">IF($F$3=1,M335+J335+G335,J335+G335)</f>
        <v>8</v>
      </c>
      <c r="R335" s="120" t="n">
        <f aca="false">IF($F$3=1,N335+K335+H335,K335+H335)</f>
        <v>8</v>
      </c>
      <c r="S335" s="120" t="n">
        <f aca="false">IF($F$3=1,O335+L335+I335,L335+I335)</f>
        <v>6.85</v>
      </c>
      <c r="T335" s="121"/>
      <c r="U335" s="67" t="n">
        <f aca="false">A336-A335</f>
        <v>28</v>
      </c>
      <c r="V335" s="122" t="n">
        <f aca="false">CHOOSE(F$3,A336+24,A335)</f>
        <v>47150</v>
      </c>
      <c r="W335" s="67" t="n">
        <f aca="false">V335-C$3</f>
        <v>1224</v>
      </c>
      <c r="X335" s="118" t="n">
        <f aca="false">VLOOKUP($A335,Table,MATCH(X$4,Curves,0))</f>
        <v>2</v>
      </c>
      <c r="Y335" s="123" t="n">
        <f aca="false">1/(1+CHOOSE(F$3,(X336+($K$3/10000))/2,(X335+($K$3/10000))/2))^(2*W335/365.25)</f>
        <v>0.00960326878589971</v>
      </c>
      <c r="Z335" s="67" t="n">
        <f aca="false">IF(AND(mthbeg&lt;=A335,mthend&gt;=A335),1,0)</f>
        <v>0</v>
      </c>
      <c r="AA335" s="67" t="n">
        <f aca="false">U335*Z335</f>
        <v>0</v>
      </c>
      <c r="AC335" s="110" t="n">
        <f aca="false">F335*(H335-I335)</f>
        <v>0</v>
      </c>
      <c r="AD335" s="49"/>
      <c r="AE335" s="124"/>
    </row>
    <row r="336" customFormat="false" ht="12" hidden="false" customHeight="true" outlineLevel="0" collapsed="false">
      <c r="A336" s="115" t="n">
        <f aca="false">EDATE(A335,1)</f>
        <v>47178</v>
      </c>
      <c r="B336" s="116" t="n">
        <f aca="false">'Inputs-Summary'!$B$7</f>
        <v>3017157.21662952</v>
      </c>
      <c r="C336" s="57"/>
      <c r="D336" s="117" t="n">
        <f aca="false">B336+C336</f>
        <v>3017157.21662952</v>
      </c>
      <c r="E336" s="106" t="n">
        <f aca="false">IF(Z336=0,0,IF(AND(Z336=1,$H$3=1),D336*U336,IF($H$3=2,D336,"N/A")))</f>
        <v>0</v>
      </c>
      <c r="F336" s="106" t="n">
        <f aca="false">E336*Y336</f>
        <v>0</v>
      </c>
      <c r="G336" s="118" t="n">
        <f aca="false">VLOOKUP($A336,Table,MATCH(G$4,Curves,0))</f>
        <v>3</v>
      </c>
      <c r="H336" s="119" t="n">
        <f aca="false">G336+$H$7</f>
        <v>3</v>
      </c>
      <c r="I336" s="118" t="n">
        <f aca="false">'Inputs-Summary'!$B$16</f>
        <v>1.85</v>
      </c>
      <c r="J336" s="118" t="n">
        <f aca="false">VLOOKUP($A336,Table,MATCH(J$4,Curves,0))</f>
        <v>5</v>
      </c>
      <c r="K336" s="119" t="n">
        <f aca="false">J336+$K$7</f>
        <v>5</v>
      </c>
      <c r="L336" s="120" t="n">
        <f aca="false">K336</f>
        <v>5</v>
      </c>
      <c r="M336" s="118" t="n">
        <f aca="false">VLOOKUP($A336,Table,MATCH(M$4,Curves,0))</f>
        <v>5</v>
      </c>
      <c r="N336" s="119" t="n">
        <f aca="false">M336+$N$7</f>
        <v>5</v>
      </c>
      <c r="O336" s="120" t="n">
        <f aca="false">N336</f>
        <v>5</v>
      </c>
      <c r="P336" s="109"/>
      <c r="Q336" s="120" t="n">
        <f aca="false">IF($F$3=1,M336+J336+G336,J336+G336)</f>
        <v>8</v>
      </c>
      <c r="R336" s="120" t="n">
        <f aca="false">IF($F$3=1,N336+K336+H336,K336+H336)</f>
        <v>8</v>
      </c>
      <c r="S336" s="120" t="n">
        <f aca="false">IF($F$3=1,O336+L336+I336,L336+I336)</f>
        <v>6.85</v>
      </c>
      <c r="T336" s="121"/>
      <c r="U336" s="67" t="n">
        <f aca="false">A337-A336</f>
        <v>31</v>
      </c>
      <c r="V336" s="122" t="n">
        <f aca="false">CHOOSE(F$3,A337+24,A336)</f>
        <v>47178</v>
      </c>
      <c r="W336" s="67" t="n">
        <f aca="false">V336-C$3</f>
        <v>1252</v>
      </c>
      <c r="X336" s="118" t="n">
        <f aca="false">VLOOKUP($A336,Table,MATCH(X$4,Curves,0))</f>
        <v>2</v>
      </c>
      <c r="Y336" s="123" t="n">
        <f aca="false">1/(1+CHOOSE(F$3,(X337+($K$3/10000))/2,(X336+($K$3/10000))/2))^(2*W336/365.25)</f>
        <v>0.00863505827290531</v>
      </c>
      <c r="Z336" s="67" t="n">
        <f aca="false">IF(AND(mthbeg&lt;=A336,mthend&gt;=A336),1,0)</f>
        <v>0</v>
      </c>
      <c r="AA336" s="67" t="n">
        <f aca="false">U336*Z336</f>
        <v>0</v>
      </c>
      <c r="AC336" s="110" t="n">
        <f aca="false">F336*(H336-I336)</f>
        <v>0</v>
      </c>
      <c r="AD336" s="49"/>
      <c r="AE336" s="124"/>
    </row>
    <row r="337" customFormat="false" ht="12" hidden="false" customHeight="true" outlineLevel="0" collapsed="false">
      <c r="A337" s="115" t="n">
        <f aca="false">EDATE(A336,1)</f>
        <v>47209</v>
      </c>
      <c r="B337" s="116" t="n">
        <f aca="false">'Inputs-Summary'!$B$7</f>
        <v>3017157.21662952</v>
      </c>
      <c r="C337" s="57"/>
      <c r="D337" s="117" t="n">
        <f aca="false">B337+C337</f>
        <v>3017157.21662952</v>
      </c>
      <c r="E337" s="106" t="n">
        <f aca="false">IF(Z337=0,0,IF(AND(Z337=1,$H$3=1),D337*U337,IF($H$3=2,D337,"N/A")))</f>
        <v>0</v>
      </c>
      <c r="F337" s="106" t="n">
        <f aca="false">E337*Y337</f>
        <v>0</v>
      </c>
      <c r="G337" s="118" t="n">
        <f aca="false">VLOOKUP($A337,Table,MATCH(G$4,Curves,0))</f>
        <v>3</v>
      </c>
      <c r="H337" s="119" t="n">
        <f aca="false">G337+$H$7</f>
        <v>3</v>
      </c>
      <c r="I337" s="118" t="n">
        <f aca="false">'Inputs-Summary'!$B$16</f>
        <v>1.85</v>
      </c>
      <c r="J337" s="118" t="n">
        <f aca="false">VLOOKUP($A337,Table,MATCH(J$4,Curves,0))</f>
        <v>5</v>
      </c>
      <c r="K337" s="119" t="n">
        <f aca="false">J337+$K$7</f>
        <v>5</v>
      </c>
      <c r="L337" s="120" t="n">
        <f aca="false">K337</f>
        <v>5</v>
      </c>
      <c r="M337" s="118" t="n">
        <f aca="false">VLOOKUP($A337,Table,MATCH(M$4,Curves,0))</f>
        <v>5</v>
      </c>
      <c r="N337" s="119" t="n">
        <f aca="false">M337+$N$7</f>
        <v>5</v>
      </c>
      <c r="O337" s="120" t="n">
        <f aca="false">N337</f>
        <v>5</v>
      </c>
      <c r="P337" s="109"/>
      <c r="Q337" s="120" t="n">
        <f aca="false">IF($F$3=1,M337+J337+G337,J337+G337)</f>
        <v>8</v>
      </c>
      <c r="R337" s="120" t="n">
        <f aca="false">IF($F$3=1,N337+K337+H337,K337+H337)</f>
        <v>8</v>
      </c>
      <c r="S337" s="120" t="n">
        <f aca="false">IF($F$3=1,O337+L337+I337,L337+I337)</f>
        <v>6.85</v>
      </c>
      <c r="T337" s="121"/>
      <c r="U337" s="67" t="n">
        <f aca="false">A338-A337</f>
        <v>30</v>
      </c>
      <c r="V337" s="122" t="n">
        <f aca="false">CHOOSE(F$3,A338+24,A337)</f>
        <v>47209</v>
      </c>
      <c r="W337" s="67" t="n">
        <f aca="false">V337-C$3</f>
        <v>1283</v>
      </c>
      <c r="X337" s="118" t="n">
        <f aca="false">VLOOKUP($A337,Table,MATCH(X$4,Curves,0))</f>
        <v>2</v>
      </c>
      <c r="Y337" s="123" t="n">
        <f aca="false">1/(1+CHOOSE(F$3,(X338+($K$3/10000))/2,(X337+($K$3/10000))/2))^(2*W337/365.25)</f>
        <v>0.00767655577436745</v>
      </c>
      <c r="Z337" s="67" t="n">
        <f aca="false">IF(AND(mthbeg&lt;=A337,mthend&gt;=A337),1,0)</f>
        <v>0</v>
      </c>
      <c r="AA337" s="67" t="n">
        <f aca="false">U337*Z337</f>
        <v>0</v>
      </c>
      <c r="AC337" s="110" t="n">
        <f aca="false">F337*(H337-I337)</f>
        <v>0</v>
      </c>
      <c r="AD337" s="49"/>
      <c r="AE337" s="124"/>
    </row>
    <row r="338" customFormat="false" ht="12" hidden="false" customHeight="true" outlineLevel="0" collapsed="false">
      <c r="A338" s="115" t="n">
        <f aca="false">EDATE(A337,1)</f>
        <v>47239</v>
      </c>
      <c r="B338" s="116" t="n">
        <f aca="false">'Inputs-Summary'!$B$7</f>
        <v>3017157.21662952</v>
      </c>
      <c r="C338" s="57"/>
      <c r="D338" s="117" t="n">
        <f aca="false">B338+C338</f>
        <v>3017157.21662952</v>
      </c>
      <c r="E338" s="106" t="n">
        <f aca="false">IF(Z338=0,0,IF(AND(Z338=1,$H$3=1),D338*U338,IF($H$3=2,D338,"N/A")))</f>
        <v>0</v>
      </c>
      <c r="F338" s="106" t="n">
        <f aca="false">E338*Y338</f>
        <v>0</v>
      </c>
      <c r="G338" s="118" t="n">
        <f aca="false">VLOOKUP($A338,Table,MATCH(G$4,Curves,0))</f>
        <v>3</v>
      </c>
      <c r="H338" s="119" t="n">
        <f aca="false">G338+$H$7</f>
        <v>3</v>
      </c>
      <c r="I338" s="118" t="n">
        <f aca="false">'Inputs-Summary'!$B$16</f>
        <v>1.85</v>
      </c>
      <c r="J338" s="118" t="n">
        <f aca="false">VLOOKUP($A338,Table,MATCH(J$4,Curves,0))</f>
        <v>5</v>
      </c>
      <c r="K338" s="119" t="n">
        <f aca="false">J338+$K$7</f>
        <v>5</v>
      </c>
      <c r="L338" s="120" t="n">
        <f aca="false">K338</f>
        <v>5</v>
      </c>
      <c r="M338" s="118" t="n">
        <f aca="false">VLOOKUP($A338,Table,MATCH(M$4,Curves,0))</f>
        <v>5</v>
      </c>
      <c r="N338" s="119" t="n">
        <f aca="false">M338+$N$7</f>
        <v>5</v>
      </c>
      <c r="O338" s="120" t="n">
        <f aca="false">N338</f>
        <v>5</v>
      </c>
      <c r="P338" s="109"/>
      <c r="Q338" s="120" t="n">
        <f aca="false">IF($F$3=1,M338+J338+G338,J338+G338)</f>
        <v>8</v>
      </c>
      <c r="R338" s="120" t="n">
        <f aca="false">IF($F$3=1,N338+K338+H338,K338+H338)</f>
        <v>8</v>
      </c>
      <c r="S338" s="120" t="n">
        <f aca="false">IF($F$3=1,O338+L338+I338,L338+I338)</f>
        <v>6.85</v>
      </c>
      <c r="T338" s="121"/>
      <c r="U338" s="67" t="n">
        <f aca="false">A339-A338</f>
        <v>31</v>
      </c>
      <c r="V338" s="122" t="n">
        <f aca="false">CHOOSE(F$3,A339+24,A338)</f>
        <v>47239</v>
      </c>
      <c r="W338" s="67" t="n">
        <f aca="false">V338-C$3</f>
        <v>1313</v>
      </c>
      <c r="X338" s="118" t="n">
        <f aca="false">VLOOKUP($A338,Table,MATCH(X$4,Curves,0))</f>
        <v>2</v>
      </c>
      <c r="Y338" s="123" t="n">
        <f aca="false">1/(1+CHOOSE(F$3,(X339+($K$3/10000))/2,(X338+($K$3/10000))/2))^(2*W338/365.25)</f>
        <v>0.00685039946378828</v>
      </c>
      <c r="Z338" s="67" t="n">
        <f aca="false">IF(AND(mthbeg&lt;=A338,mthend&gt;=A338),1,0)</f>
        <v>0</v>
      </c>
      <c r="AA338" s="67" t="n">
        <f aca="false">U338*Z338</f>
        <v>0</v>
      </c>
      <c r="AC338" s="110" t="n">
        <f aca="false">F338*(H338-I338)</f>
        <v>0</v>
      </c>
      <c r="AD338" s="49"/>
      <c r="AE338" s="124"/>
    </row>
    <row r="339" customFormat="false" ht="12" hidden="false" customHeight="true" outlineLevel="0" collapsed="false">
      <c r="A339" s="115" t="n">
        <f aca="false">EDATE(A338,1)</f>
        <v>47270</v>
      </c>
      <c r="B339" s="116" t="n">
        <f aca="false">'Inputs-Summary'!$B$7</f>
        <v>3017157.21662952</v>
      </c>
      <c r="C339" s="57"/>
      <c r="D339" s="117" t="n">
        <f aca="false">B339+C339</f>
        <v>3017157.21662952</v>
      </c>
      <c r="E339" s="106" t="n">
        <f aca="false">IF(Z339=0,0,IF(AND(Z339=1,$H$3=1),D339*U339,IF($H$3=2,D339,"N/A")))</f>
        <v>0</v>
      </c>
      <c r="F339" s="106" t="n">
        <f aca="false">E339*Y339</f>
        <v>0</v>
      </c>
      <c r="G339" s="118" t="n">
        <f aca="false">VLOOKUP($A339,Table,MATCH(G$4,Curves,0))</f>
        <v>3</v>
      </c>
      <c r="H339" s="119" t="n">
        <f aca="false">G339+$H$7</f>
        <v>3</v>
      </c>
      <c r="I339" s="118" t="n">
        <f aca="false">'Inputs-Summary'!$B$16</f>
        <v>1.85</v>
      </c>
      <c r="J339" s="118" t="n">
        <f aca="false">VLOOKUP($A339,Table,MATCH(J$4,Curves,0))</f>
        <v>5</v>
      </c>
      <c r="K339" s="119" t="n">
        <f aca="false">J339+$K$7</f>
        <v>5</v>
      </c>
      <c r="L339" s="120" t="n">
        <f aca="false">K339</f>
        <v>5</v>
      </c>
      <c r="M339" s="118" t="n">
        <f aca="false">VLOOKUP($A339,Table,MATCH(M$4,Curves,0))</f>
        <v>5</v>
      </c>
      <c r="N339" s="119" t="n">
        <f aca="false">M339+$N$7</f>
        <v>5</v>
      </c>
      <c r="O339" s="120" t="n">
        <f aca="false">N339</f>
        <v>5</v>
      </c>
      <c r="P339" s="109"/>
      <c r="Q339" s="120" t="n">
        <f aca="false">IF($F$3=1,M339+J339+G339,J339+G339)</f>
        <v>8</v>
      </c>
      <c r="R339" s="120" t="n">
        <f aca="false">IF($F$3=1,N339+K339+H339,K339+H339)</f>
        <v>8</v>
      </c>
      <c r="S339" s="120" t="n">
        <f aca="false">IF($F$3=1,O339+L339+I339,L339+I339)</f>
        <v>6.85</v>
      </c>
      <c r="T339" s="121"/>
      <c r="U339" s="67" t="n">
        <f aca="false">A340-A339</f>
        <v>30</v>
      </c>
      <c r="V339" s="122" t="n">
        <f aca="false">CHOOSE(F$3,A340+24,A339)</f>
        <v>47270</v>
      </c>
      <c r="W339" s="67" t="n">
        <f aca="false">V339-C$3</f>
        <v>1344</v>
      </c>
      <c r="X339" s="118" t="n">
        <f aca="false">VLOOKUP($A339,Table,MATCH(X$4,Curves,0))</f>
        <v>2</v>
      </c>
      <c r="Y339" s="123" t="n">
        <f aca="false">1/(1+CHOOSE(F$3,(X340+($K$3/10000))/2,(X339+($K$3/10000))/2))^(2*W339/365.25)</f>
        <v>0.00608999637274878</v>
      </c>
      <c r="Z339" s="67" t="n">
        <f aca="false">IF(AND(mthbeg&lt;=A339,mthend&gt;=A339),1,0)</f>
        <v>0</v>
      </c>
      <c r="AA339" s="67" t="n">
        <f aca="false">U339*Z339</f>
        <v>0</v>
      </c>
      <c r="AC339" s="110" t="n">
        <f aca="false">F339*(H339-I339)</f>
        <v>0</v>
      </c>
      <c r="AD339" s="49"/>
      <c r="AE339" s="124"/>
    </row>
    <row r="340" customFormat="false" ht="12" hidden="false" customHeight="true" outlineLevel="0" collapsed="false">
      <c r="A340" s="115" t="n">
        <f aca="false">EDATE(A339,1)</f>
        <v>47300</v>
      </c>
      <c r="B340" s="116" t="n">
        <f aca="false">'Inputs-Summary'!$B$7</f>
        <v>3017157.21662952</v>
      </c>
      <c r="C340" s="57"/>
      <c r="D340" s="117" t="n">
        <f aca="false">B340+C340</f>
        <v>3017157.21662952</v>
      </c>
      <c r="E340" s="106" t="n">
        <f aca="false">IF(Z340=0,0,IF(AND(Z340=1,$H$3=1),D340*U340,IF($H$3=2,D340,"N/A")))</f>
        <v>0</v>
      </c>
      <c r="F340" s="106" t="n">
        <f aca="false">E340*Y340</f>
        <v>0</v>
      </c>
      <c r="G340" s="118" t="n">
        <f aca="false">VLOOKUP($A340,Table,MATCH(G$4,Curves,0))</f>
        <v>3</v>
      </c>
      <c r="H340" s="119" t="n">
        <f aca="false">G340+$H$7</f>
        <v>3</v>
      </c>
      <c r="I340" s="118" t="n">
        <f aca="false">'Inputs-Summary'!$B$16</f>
        <v>1.85</v>
      </c>
      <c r="J340" s="118" t="n">
        <f aca="false">VLOOKUP($A340,Table,MATCH(J$4,Curves,0))</f>
        <v>5</v>
      </c>
      <c r="K340" s="119" t="n">
        <f aca="false">J340+$K$7</f>
        <v>5</v>
      </c>
      <c r="L340" s="120" t="n">
        <f aca="false">K340</f>
        <v>5</v>
      </c>
      <c r="M340" s="118" t="n">
        <f aca="false">VLOOKUP($A340,Table,MATCH(M$4,Curves,0))</f>
        <v>5</v>
      </c>
      <c r="N340" s="119" t="n">
        <f aca="false">M340+$N$7</f>
        <v>5</v>
      </c>
      <c r="O340" s="120" t="n">
        <f aca="false">N340</f>
        <v>5</v>
      </c>
      <c r="P340" s="109"/>
      <c r="Q340" s="120" t="n">
        <f aca="false">IF($F$3=1,M340+J340+G340,J340+G340)</f>
        <v>8</v>
      </c>
      <c r="R340" s="120" t="n">
        <f aca="false">IF($F$3=1,N340+K340+H340,K340+H340)</f>
        <v>8</v>
      </c>
      <c r="S340" s="120" t="n">
        <f aca="false">IF($F$3=1,O340+L340+I340,L340+I340)</f>
        <v>6.85</v>
      </c>
      <c r="T340" s="121"/>
      <c r="U340" s="67" t="n">
        <f aca="false">A341-A340</f>
        <v>31</v>
      </c>
      <c r="V340" s="122" t="n">
        <f aca="false">CHOOSE(F$3,A341+24,A340)</f>
        <v>47300</v>
      </c>
      <c r="W340" s="67" t="n">
        <f aca="false">V340-C$3</f>
        <v>1374</v>
      </c>
      <c r="X340" s="118" t="n">
        <f aca="false">VLOOKUP($A340,Table,MATCH(X$4,Curves,0))</f>
        <v>2</v>
      </c>
      <c r="Y340" s="123" t="n">
        <f aca="false">1/(1+CHOOSE(F$3,(X341+($K$3/10000))/2,(X340+($K$3/10000))/2))^(2*W340/365.25)</f>
        <v>0.00543458669650432</v>
      </c>
      <c r="Z340" s="67" t="n">
        <f aca="false">IF(AND(mthbeg&lt;=A340,mthend&gt;=A340),1,0)</f>
        <v>0</v>
      </c>
      <c r="AA340" s="67" t="n">
        <f aca="false">U340*Z340</f>
        <v>0</v>
      </c>
      <c r="AC340" s="110" t="n">
        <f aca="false">F340*(H340-I340)</f>
        <v>0</v>
      </c>
      <c r="AD340" s="49"/>
      <c r="AE340" s="124"/>
    </row>
    <row r="341" customFormat="false" ht="12" hidden="false" customHeight="true" outlineLevel="0" collapsed="false">
      <c r="A341" s="115" t="n">
        <f aca="false">EDATE(A340,1)</f>
        <v>47331</v>
      </c>
      <c r="B341" s="116" t="n">
        <f aca="false">'Inputs-Summary'!$B$7</f>
        <v>3017157.21662952</v>
      </c>
      <c r="C341" s="57"/>
      <c r="D341" s="117" t="n">
        <f aca="false">B341+C341</f>
        <v>3017157.21662952</v>
      </c>
      <c r="E341" s="106" t="n">
        <f aca="false">IF(Z341=0,0,IF(AND(Z341=1,$H$3=1),D341*U341,IF($H$3=2,D341,"N/A")))</f>
        <v>0</v>
      </c>
      <c r="F341" s="106" t="n">
        <f aca="false">E341*Y341</f>
        <v>0</v>
      </c>
      <c r="G341" s="118" t="n">
        <f aca="false">VLOOKUP($A341,Table,MATCH(G$4,Curves,0))</f>
        <v>3</v>
      </c>
      <c r="H341" s="119" t="n">
        <f aca="false">G341+$H$7</f>
        <v>3</v>
      </c>
      <c r="I341" s="118" t="n">
        <f aca="false">'Inputs-Summary'!$B$16</f>
        <v>1.85</v>
      </c>
      <c r="J341" s="118" t="n">
        <f aca="false">VLOOKUP($A341,Table,MATCH(J$4,Curves,0))</f>
        <v>5</v>
      </c>
      <c r="K341" s="119" t="n">
        <f aca="false">J341+$K$7</f>
        <v>5</v>
      </c>
      <c r="L341" s="120" t="n">
        <f aca="false">K341</f>
        <v>5</v>
      </c>
      <c r="M341" s="118" t="n">
        <f aca="false">VLOOKUP($A341,Table,MATCH(M$4,Curves,0))</f>
        <v>5</v>
      </c>
      <c r="N341" s="119" t="n">
        <f aca="false">M341+$N$7</f>
        <v>5</v>
      </c>
      <c r="O341" s="120" t="n">
        <f aca="false">N341</f>
        <v>5</v>
      </c>
      <c r="P341" s="109"/>
      <c r="Q341" s="120" t="n">
        <f aca="false">IF($F$3=1,M341+J341+G341,J341+G341)</f>
        <v>8</v>
      </c>
      <c r="R341" s="120" t="n">
        <f aca="false">IF($F$3=1,N341+K341+H341,K341+H341)</f>
        <v>8</v>
      </c>
      <c r="S341" s="120" t="n">
        <f aca="false">IF($F$3=1,O341+L341+I341,L341+I341)</f>
        <v>6.85</v>
      </c>
      <c r="T341" s="121"/>
      <c r="U341" s="67" t="n">
        <f aca="false">A342-A341</f>
        <v>31</v>
      </c>
      <c r="V341" s="122" t="n">
        <f aca="false">CHOOSE(F$3,A342+24,A341)</f>
        <v>47331</v>
      </c>
      <c r="W341" s="67" t="n">
        <f aca="false">V341-C$3</f>
        <v>1405</v>
      </c>
      <c r="X341" s="118" t="n">
        <f aca="false">VLOOKUP($A341,Table,MATCH(X$4,Curves,0))</f>
        <v>2</v>
      </c>
      <c r="Y341" s="123" t="n">
        <f aca="false">1/(1+CHOOSE(F$3,(X342+($K$3/10000))/2,(X341+($K$3/10000))/2))^(2*W341/365.25)</f>
        <v>0.00483134063116337</v>
      </c>
      <c r="Z341" s="67" t="n">
        <f aca="false">IF(AND(mthbeg&lt;=A341,mthend&gt;=A341),1,0)</f>
        <v>0</v>
      </c>
      <c r="AA341" s="67" t="n">
        <f aca="false">U341*Z341</f>
        <v>0</v>
      </c>
      <c r="AC341" s="110" t="n">
        <f aca="false">F341*(H341-I341)</f>
        <v>0</v>
      </c>
      <c r="AD341" s="49"/>
      <c r="AE341" s="124"/>
    </row>
    <row r="342" customFormat="false" ht="12" hidden="false" customHeight="true" outlineLevel="0" collapsed="false">
      <c r="A342" s="115" t="n">
        <f aca="false">EDATE(A341,1)</f>
        <v>47362</v>
      </c>
      <c r="B342" s="116" t="n">
        <f aca="false">'Inputs-Summary'!$B$7</f>
        <v>3017157.21662952</v>
      </c>
      <c r="C342" s="57"/>
      <c r="D342" s="117" t="n">
        <f aca="false">B342+C342</f>
        <v>3017157.21662952</v>
      </c>
      <c r="E342" s="106" t="n">
        <f aca="false">IF(Z342=0,0,IF(AND(Z342=1,$H$3=1),D342*U342,IF($H$3=2,D342,"N/A")))</f>
        <v>0</v>
      </c>
      <c r="F342" s="106" t="n">
        <f aca="false">E342*Y342</f>
        <v>0</v>
      </c>
      <c r="G342" s="118" t="n">
        <f aca="false">VLOOKUP($A342,Table,MATCH(G$4,Curves,0))</f>
        <v>3</v>
      </c>
      <c r="H342" s="119" t="n">
        <f aca="false">G342+$H$7</f>
        <v>3</v>
      </c>
      <c r="I342" s="118" t="n">
        <f aca="false">'Inputs-Summary'!$B$16</f>
        <v>1.85</v>
      </c>
      <c r="J342" s="118" t="n">
        <f aca="false">VLOOKUP($A342,Table,MATCH(J$4,Curves,0))</f>
        <v>5</v>
      </c>
      <c r="K342" s="119" t="n">
        <f aca="false">J342+$K$7</f>
        <v>5</v>
      </c>
      <c r="L342" s="120" t="n">
        <f aca="false">K342</f>
        <v>5</v>
      </c>
      <c r="M342" s="118" t="n">
        <f aca="false">VLOOKUP($A342,Table,MATCH(M$4,Curves,0))</f>
        <v>5</v>
      </c>
      <c r="N342" s="119" t="n">
        <f aca="false">M342+$N$7</f>
        <v>5</v>
      </c>
      <c r="O342" s="120" t="n">
        <f aca="false">N342</f>
        <v>5</v>
      </c>
      <c r="P342" s="109"/>
      <c r="Q342" s="120" t="n">
        <f aca="false">IF($F$3=1,M342+J342+G342,J342+G342)</f>
        <v>8</v>
      </c>
      <c r="R342" s="120" t="n">
        <f aca="false">IF($F$3=1,N342+K342+H342,K342+H342)</f>
        <v>8</v>
      </c>
      <c r="S342" s="120" t="n">
        <f aca="false">IF($F$3=1,O342+L342+I342,L342+I342)</f>
        <v>6.85</v>
      </c>
      <c r="T342" s="121"/>
      <c r="U342" s="67" t="n">
        <f aca="false">A343-A342</f>
        <v>30</v>
      </c>
      <c r="V342" s="122" t="n">
        <f aca="false">CHOOSE(F$3,A343+24,A342)</f>
        <v>47362</v>
      </c>
      <c r="W342" s="67" t="n">
        <f aca="false">V342-C$3</f>
        <v>1436</v>
      </c>
      <c r="X342" s="118" t="n">
        <f aca="false">VLOOKUP($A342,Table,MATCH(X$4,Curves,0))</f>
        <v>2</v>
      </c>
      <c r="Y342" s="123" t="n">
        <f aca="false">1/(1+CHOOSE(F$3,(X343+($K$3/10000))/2,(X342+($K$3/10000))/2))^(2*W342/365.25)</f>
        <v>0.00429505564964935</v>
      </c>
      <c r="Z342" s="67" t="n">
        <f aca="false">IF(AND(mthbeg&lt;=A342,mthend&gt;=A342),1,0)</f>
        <v>0</v>
      </c>
      <c r="AA342" s="67" t="n">
        <f aca="false">U342*Z342</f>
        <v>0</v>
      </c>
      <c r="AC342" s="110" t="n">
        <f aca="false">F342*(H342-I342)</f>
        <v>0</v>
      </c>
      <c r="AD342" s="49"/>
      <c r="AE342" s="124"/>
    </row>
    <row r="343" customFormat="false" ht="12" hidden="false" customHeight="true" outlineLevel="0" collapsed="false">
      <c r="A343" s="115" t="n">
        <f aca="false">EDATE(A342,1)</f>
        <v>47392</v>
      </c>
      <c r="B343" s="116" t="n">
        <f aca="false">'Inputs-Summary'!$B$7</f>
        <v>3017157.21662952</v>
      </c>
      <c r="C343" s="57"/>
      <c r="D343" s="117" t="n">
        <f aca="false">B343+C343</f>
        <v>3017157.21662952</v>
      </c>
      <c r="E343" s="106" t="n">
        <f aca="false">IF(Z343=0,0,IF(AND(Z343=1,$H$3=1),D343*U343,IF($H$3=2,D343,"N/A")))</f>
        <v>0</v>
      </c>
      <c r="F343" s="106" t="n">
        <f aca="false">E343*Y343</f>
        <v>0</v>
      </c>
      <c r="G343" s="118" t="n">
        <f aca="false">VLOOKUP($A343,Table,MATCH(G$4,Curves,0))</f>
        <v>3</v>
      </c>
      <c r="H343" s="119" t="n">
        <f aca="false">G343+$H$7</f>
        <v>3</v>
      </c>
      <c r="I343" s="118" t="n">
        <f aca="false">'Inputs-Summary'!$B$16</f>
        <v>1.85</v>
      </c>
      <c r="J343" s="118" t="n">
        <f aca="false">VLOOKUP($A343,Table,MATCH(J$4,Curves,0))</f>
        <v>5</v>
      </c>
      <c r="K343" s="119" t="n">
        <f aca="false">J343+$K$7</f>
        <v>5</v>
      </c>
      <c r="L343" s="120" t="n">
        <f aca="false">K343</f>
        <v>5</v>
      </c>
      <c r="M343" s="118" t="n">
        <f aca="false">VLOOKUP($A343,Table,MATCH(M$4,Curves,0))</f>
        <v>5</v>
      </c>
      <c r="N343" s="119" t="n">
        <f aca="false">M343+$N$7</f>
        <v>5</v>
      </c>
      <c r="O343" s="120" t="n">
        <f aca="false">N343</f>
        <v>5</v>
      </c>
      <c r="P343" s="109"/>
      <c r="Q343" s="120" t="n">
        <f aca="false">IF($F$3=1,M343+J343+G343,J343+G343)</f>
        <v>8</v>
      </c>
      <c r="R343" s="120" t="n">
        <f aca="false">IF($F$3=1,N343+K343+H343,K343+H343)</f>
        <v>8</v>
      </c>
      <c r="S343" s="120" t="n">
        <f aca="false">IF($F$3=1,O343+L343+I343,L343+I343)</f>
        <v>6.85</v>
      </c>
      <c r="T343" s="121"/>
      <c r="U343" s="67" t="n">
        <f aca="false">A344-A343</f>
        <v>31</v>
      </c>
      <c r="V343" s="122" t="n">
        <f aca="false">CHOOSE(F$3,A344+24,A343)</f>
        <v>47392</v>
      </c>
      <c r="W343" s="67" t="n">
        <f aca="false">V343-C$3</f>
        <v>1466</v>
      </c>
      <c r="X343" s="118" t="n">
        <f aca="false">VLOOKUP($A343,Table,MATCH(X$4,Curves,0))</f>
        <v>2</v>
      </c>
      <c r="Y343" s="123" t="n">
        <f aca="false">1/(1+CHOOSE(F$3,(X344+($K$3/10000))/2,(X343+($K$3/10000))/2))^(2*W343/365.25)</f>
        <v>0.00383281875154788</v>
      </c>
      <c r="Z343" s="67" t="n">
        <f aca="false">IF(AND(mthbeg&lt;=A343,mthend&gt;=A343),1,0)</f>
        <v>0</v>
      </c>
      <c r="AA343" s="67" t="n">
        <f aca="false">U343*Z343</f>
        <v>0</v>
      </c>
      <c r="AC343" s="110" t="n">
        <f aca="false">F343*(H343-I343)</f>
        <v>0</v>
      </c>
      <c r="AD343" s="49"/>
      <c r="AE343" s="124"/>
    </row>
    <row r="344" customFormat="false" ht="12" hidden="false" customHeight="true" outlineLevel="0" collapsed="false">
      <c r="A344" s="115" t="n">
        <f aca="false">EDATE(A343,1)</f>
        <v>47423</v>
      </c>
      <c r="B344" s="116" t="n">
        <f aca="false">'Inputs-Summary'!$B$7</f>
        <v>3017157.21662952</v>
      </c>
      <c r="C344" s="57"/>
      <c r="D344" s="117" t="n">
        <f aca="false">B344+C344</f>
        <v>3017157.21662952</v>
      </c>
      <c r="E344" s="106" t="n">
        <f aca="false">IF(Z344=0,0,IF(AND(Z344=1,$H$3=1),D344*U344,IF($H$3=2,D344,"N/A")))</f>
        <v>0</v>
      </c>
      <c r="F344" s="106" t="n">
        <f aca="false">E344*Y344</f>
        <v>0</v>
      </c>
      <c r="G344" s="118" t="n">
        <f aca="false">VLOOKUP($A344,Table,MATCH(G$4,Curves,0))</f>
        <v>3</v>
      </c>
      <c r="H344" s="119" t="n">
        <f aca="false">G344+$H$7</f>
        <v>3</v>
      </c>
      <c r="I344" s="118" t="n">
        <f aca="false">'Inputs-Summary'!$B$16</f>
        <v>1.85</v>
      </c>
      <c r="J344" s="118" t="n">
        <f aca="false">VLOOKUP($A344,Table,MATCH(J$4,Curves,0))</f>
        <v>5</v>
      </c>
      <c r="K344" s="119" t="n">
        <f aca="false">J344+$K$7</f>
        <v>5</v>
      </c>
      <c r="L344" s="120" t="n">
        <f aca="false">K344</f>
        <v>5</v>
      </c>
      <c r="M344" s="118" t="n">
        <f aca="false">VLOOKUP($A344,Table,MATCH(M$4,Curves,0))</f>
        <v>5</v>
      </c>
      <c r="N344" s="119" t="n">
        <f aca="false">M344+$N$7</f>
        <v>5</v>
      </c>
      <c r="O344" s="120" t="n">
        <f aca="false">N344</f>
        <v>5</v>
      </c>
      <c r="P344" s="109"/>
      <c r="Q344" s="120" t="n">
        <f aca="false">IF($F$3=1,M344+J344+G344,J344+G344)</f>
        <v>8</v>
      </c>
      <c r="R344" s="120" t="n">
        <f aca="false">IF($F$3=1,N344+K344+H344,K344+H344)</f>
        <v>8</v>
      </c>
      <c r="S344" s="120" t="n">
        <f aca="false">IF($F$3=1,O344+L344+I344,L344+I344)</f>
        <v>6.85</v>
      </c>
      <c r="T344" s="121"/>
      <c r="U344" s="67" t="n">
        <f aca="false">A345-A344</f>
        <v>30</v>
      </c>
      <c r="V344" s="122" t="n">
        <f aca="false">CHOOSE(F$3,A345+24,A344)</f>
        <v>47423</v>
      </c>
      <c r="W344" s="67" t="n">
        <f aca="false">V344-C$3</f>
        <v>1497</v>
      </c>
      <c r="X344" s="118" t="n">
        <f aca="false">VLOOKUP($A344,Table,MATCH(X$4,Curves,0))</f>
        <v>2</v>
      </c>
      <c r="Y344" s="123" t="n">
        <f aca="false">1/(1+CHOOSE(F$3,(X345+($K$3/10000))/2,(X344+($K$3/10000))/2))^(2*W344/365.25)</f>
        <v>0.00340737097416244</v>
      </c>
      <c r="Z344" s="67" t="n">
        <f aca="false">IF(AND(mthbeg&lt;=A344,mthend&gt;=A344),1,0)</f>
        <v>0</v>
      </c>
      <c r="AA344" s="67" t="n">
        <f aca="false">U344*Z344</f>
        <v>0</v>
      </c>
      <c r="AC344" s="110" t="n">
        <f aca="false">F344*(H344-I344)</f>
        <v>0</v>
      </c>
      <c r="AD344" s="49"/>
      <c r="AE344" s="124"/>
    </row>
    <row r="345" customFormat="false" ht="12" hidden="false" customHeight="true" outlineLevel="0" collapsed="false">
      <c r="A345" s="115" t="n">
        <f aca="false">EDATE(A344,1)</f>
        <v>47453</v>
      </c>
      <c r="B345" s="116" t="n">
        <f aca="false">'Inputs-Summary'!$B$7</f>
        <v>3017157.21662952</v>
      </c>
      <c r="C345" s="57"/>
      <c r="D345" s="117" t="n">
        <f aca="false">B345+C345</f>
        <v>3017157.21662952</v>
      </c>
      <c r="E345" s="106" t="n">
        <f aca="false">IF(Z345=0,0,IF(AND(Z345=1,$H$3=1),D345*U345,IF($H$3=2,D345,"N/A")))</f>
        <v>0</v>
      </c>
      <c r="F345" s="106" t="n">
        <f aca="false">E345*Y345</f>
        <v>0</v>
      </c>
      <c r="G345" s="118" t="n">
        <f aca="false">VLOOKUP($A345,Table,MATCH(G$4,Curves,0))</f>
        <v>3</v>
      </c>
      <c r="H345" s="119" t="n">
        <f aca="false">G345+$H$7</f>
        <v>3</v>
      </c>
      <c r="I345" s="118" t="n">
        <f aca="false">'Inputs-Summary'!$B$16</f>
        <v>1.85</v>
      </c>
      <c r="J345" s="118" t="n">
        <f aca="false">VLOOKUP($A345,Table,MATCH(J$4,Curves,0))</f>
        <v>5</v>
      </c>
      <c r="K345" s="119" t="n">
        <f aca="false">J345+$K$7</f>
        <v>5</v>
      </c>
      <c r="L345" s="120" t="n">
        <f aca="false">K345</f>
        <v>5</v>
      </c>
      <c r="M345" s="118" t="n">
        <f aca="false">VLOOKUP($A345,Table,MATCH(M$4,Curves,0))</f>
        <v>5</v>
      </c>
      <c r="N345" s="119" t="n">
        <f aca="false">M345+$N$7</f>
        <v>5</v>
      </c>
      <c r="O345" s="120" t="n">
        <f aca="false">N345</f>
        <v>5</v>
      </c>
      <c r="P345" s="109"/>
      <c r="Q345" s="120" t="n">
        <f aca="false">IF($F$3=1,M345+J345+G345,J345+G345)</f>
        <v>8</v>
      </c>
      <c r="R345" s="120" t="n">
        <f aca="false">IF($F$3=1,N345+K345+H345,K345+H345)</f>
        <v>8</v>
      </c>
      <c r="S345" s="120" t="n">
        <f aca="false">IF($F$3=1,O345+L345+I345,L345+I345)</f>
        <v>6.85</v>
      </c>
      <c r="T345" s="121"/>
      <c r="U345" s="67" t="n">
        <f aca="false">A346-A345</f>
        <v>31</v>
      </c>
      <c r="V345" s="122" t="n">
        <f aca="false">CHOOSE(F$3,A346+24,A345)</f>
        <v>47453</v>
      </c>
      <c r="W345" s="67" t="n">
        <f aca="false">V345-C$3</f>
        <v>1527</v>
      </c>
      <c r="X345" s="118" t="n">
        <f aca="false">VLOOKUP($A345,Table,MATCH(X$4,Curves,0))</f>
        <v>2</v>
      </c>
      <c r="Y345" s="123" t="n">
        <f aca="false">1/(1+CHOOSE(F$3,(X346+($K$3/10000))/2,(X345+($K$3/10000))/2))^(2*W345/365.25)</f>
        <v>0.0030406673227426</v>
      </c>
      <c r="Z345" s="67" t="n">
        <f aca="false">IF(AND(mthbeg&lt;=A345,mthend&gt;=A345),1,0)</f>
        <v>0</v>
      </c>
      <c r="AA345" s="67" t="n">
        <f aca="false">U345*Z345</f>
        <v>0</v>
      </c>
      <c r="AC345" s="110" t="n">
        <f aca="false">F345*(H345-I345)</f>
        <v>0</v>
      </c>
      <c r="AD345" s="49"/>
      <c r="AE345" s="124"/>
    </row>
    <row r="346" customFormat="false" ht="12" hidden="false" customHeight="true" outlineLevel="0" collapsed="false">
      <c r="A346" s="115" t="n">
        <f aca="false">EDATE(A345,1)</f>
        <v>47484</v>
      </c>
      <c r="B346" s="116" t="n">
        <f aca="false">'Inputs-Summary'!$B$7</f>
        <v>3017157.21662952</v>
      </c>
      <c r="C346" s="57"/>
      <c r="D346" s="117" t="n">
        <f aca="false">B346+C346</f>
        <v>3017157.21662952</v>
      </c>
      <c r="E346" s="106" t="n">
        <f aca="false">IF(Z346=0,0,IF(AND(Z346=1,$H$3=1),D346*U346,IF($H$3=2,D346,"N/A")))</f>
        <v>0</v>
      </c>
      <c r="F346" s="106" t="n">
        <f aca="false">E346*Y346</f>
        <v>0</v>
      </c>
      <c r="G346" s="118" t="n">
        <f aca="false">VLOOKUP($A346,Table,MATCH(G$4,Curves,0))</f>
        <v>3</v>
      </c>
      <c r="H346" s="119" t="n">
        <f aca="false">G346+$H$7</f>
        <v>3</v>
      </c>
      <c r="I346" s="118" t="n">
        <f aca="false">'Inputs-Summary'!$B$16</f>
        <v>1.85</v>
      </c>
      <c r="J346" s="118" t="n">
        <f aca="false">VLOOKUP($A346,Table,MATCH(J$4,Curves,0))</f>
        <v>5</v>
      </c>
      <c r="K346" s="119" t="n">
        <f aca="false">J346+$K$7</f>
        <v>5</v>
      </c>
      <c r="L346" s="120" t="n">
        <f aca="false">K346</f>
        <v>5</v>
      </c>
      <c r="M346" s="118" t="n">
        <f aca="false">VLOOKUP($A346,Table,MATCH(M$4,Curves,0))</f>
        <v>5</v>
      </c>
      <c r="N346" s="119" t="n">
        <f aca="false">M346+$N$7</f>
        <v>5</v>
      </c>
      <c r="O346" s="120" t="n">
        <f aca="false">N346</f>
        <v>5</v>
      </c>
      <c r="P346" s="109"/>
      <c r="Q346" s="120" t="n">
        <f aca="false">IF($F$3=1,M346+J346+G346,J346+G346)</f>
        <v>8</v>
      </c>
      <c r="R346" s="120" t="n">
        <f aca="false">IF($F$3=1,N346+K346+H346,K346+H346)</f>
        <v>8</v>
      </c>
      <c r="S346" s="120" t="n">
        <f aca="false">IF($F$3=1,O346+L346+I346,L346+I346)</f>
        <v>6.85</v>
      </c>
      <c r="T346" s="121"/>
      <c r="U346" s="67" t="n">
        <f aca="false">A347-A346</f>
        <v>31</v>
      </c>
      <c r="V346" s="122" t="n">
        <f aca="false">CHOOSE(F$3,A347+24,A346)</f>
        <v>47484</v>
      </c>
      <c r="W346" s="67" t="n">
        <f aca="false">V346-C$3</f>
        <v>1558</v>
      </c>
      <c r="X346" s="118" t="n">
        <f aca="false">VLOOKUP($A346,Table,MATCH(X$4,Curves,0))</f>
        <v>2</v>
      </c>
      <c r="Y346" s="123" t="n">
        <f aca="false">1/(1+CHOOSE(F$3,(X347+($K$3/10000))/2,(X346+($K$3/10000))/2))^(2*W346/365.25)</f>
        <v>0.00270314936583243</v>
      </c>
      <c r="Z346" s="67" t="n">
        <f aca="false">IF(AND(mthbeg&lt;=A346,mthend&gt;=A346),1,0)</f>
        <v>0</v>
      </c>
      <c r="AA346" s="67" t="n">
        <f aca="false">U346*Z346</f>
        <v>0</v>
      </c>
      <c r="AC346" s="110" t="n">
        <f aca="false">F346*(H346-I346)</f>
        <v>0</v>
      </c>
      <c r="AD346" s="49"/>
      <c r="AE346" s="124"/>
    </row>
    <row r="347" customFormat="false" ht="12" hidden="false" customHeight="true" outlineLevel="0" collapsed="false">
      <c r="A347" s="115" t="n">
        <f aca="false">EDATE(A346,1)</f>
        <v>47515</v>
      </c>
      <c r="B347" s="116" t="n">
        <f aca="false">'Inputs-Summary'!$B$7</f>
        <v>3017157.21662952</v>
      </c>
      <c r="C347" s="57"/>
      <c r="D347" s="117" t="n">
        <f aca="false">B347+C347</f>
        <v>3017157.21662952</v>
      </c>
      <c r="E347" s="106" t="n">
        <f aca="false">IF(Z347=0,0,IF(AND(Z347=1,$H$3=1),D347*U347,IF($H$3=2,D347,"N/A")))</f>
        <v>0</v>
      </c>
      <c r="F347" s="106" t="n">
        <f aca="false">E347*Y347</f>
        <v>0</v>
      </c>
      <c r="G347" s="118" t="n">
        <f aca="false">VLOOKUP($A347,Table,MATCH(G$4,Curves,0))</f>
        <v>3</v>
      </c>
      <c r="H347" s="119" t="n">
        <f aca="false">G347+$H$7</f>
        <v>3</v>
      </c>
      <c r="I347" s="118" t="n">
        <f aca="false">'Inputs-Summary'!$B$16</f>
        <v>1.85</v>
      </c>
      <c r="J347" s="118" t="n">
        <f aca="false">VLOOKUP($A347,Table,MATCH(J$4,Curves,0))</f>
        <v>5</v>
      </c>
      <c r="K347" s="119" t="n">
        <f aca="false">J347+$K$7</f>
        <v>5</v>
      </c>
      <c r="L347" s="120" t="n">
        <f aca="false">K347</f>
        <v>5</v>
      </c>
      <c r="M347" s="118" t="n">
        <f aca="false">VLOOKUP($A347,Table,MATCH(M$4,Curves,0))</f>
        <v>5</v>
      </c>
      <c r="N347" s="119" t="n">
        <f aca="false">M347+$N$7</f>
        <v>5</v>
      </c>
      <c r="O347" s="120" t="n">
        <f aca="false">N347</f>
        <v>5</v>
      </c>
      <c r="P347" s="109"/>
      <c r="Q347" s="120" t="n">
        <f aca="false">IF($F$3=1,M347+J347+G347,J347+G347)</f>
        <v>8</v>
      </c>
      <c r="R347" s="120" t="n">
        <f aca="false">IF($F$3=1,N347+K347+H347,K347+H347)</f>
        <v>8</v>
      </c>
      <c r="S347" s="120" t="n">
        <f aca="false">IF($F$3=1,O347+L347+I347,L347+I347)</f>
        <v>6.85</v>
      </c>
      <c r="T347" s="121"/>
      <c r="U347" s="67" t="n">
        <f aca="false">A348-A347</f>
        <v>28</v>
      </c>
      <c r="V347" s="122" t="n">
        <f aca="false">CHOOSE(F$3,A348+24,A347)</f>
        <v>47515</v>
      </c>
      <c r="W347" s="67" t="n">
        <f aca="false">V347-C$3</f>
        <v>1589</v>
      </c>
      <c r="X347" s="118" t="n">
        <f aca="false">VLOOKUP($A347,Table,MATCH(X$4,Curves,0))</f>
        <v>2</v>
      </c>
      <c r="Y347" s="123" t="n">
        <f aca="false">1/(1+CHOOSE(F$3,(X348+($K$3/10000))/2,(X347+($K$3/10000))/2))^(2*W347/365.25)</f>
        <v>0.00240309633327778</v>
      </c>
      <c r="Z347" s="67" t="n">
        <f aca="false">IF(AND(mthbeg&lt;=A347,mthend&gt;=A347),1,0)</f>
        <v>0</v>
      </c>
      <c r="AA347" s="67" t="n">
        <f aca="false">U347*Z347</f>
        <v>0</v>
      </c>
      <c r="AC347" s="110" t="n">
        <f aca="false">F347*(H347-I347)</f>
        <v>0</v>
      </c>
      <c r="AD347" s="49"/>
      <c r="AE347" s="124"/>
    </row>
    <row r="348" customFormat="false" ht="12" hidden="false" customHeight="true" outlineLevel="0" collapsed="false">
      <c r="A348" s="115" t="n">
        <f aca="false">EDATE(A347,1)</f>
        <v>47543</v>
      </c>
      <c r="B348" s="116" t="n">
        <f aca="false">'Inputs-Summary'!$B$7</f>
        <v>3017157.21662952</v>
      </c>
      <c r="C348" s="57"/>
      <c r="D348" s="117" t="n">
        <f aca="false">B348+C348</f>
        <v>3017157.21662952</v>
      </c>
      <c r="E348" s="106" t="n">
        <f aca="false">IF(Z348=0,0,IF(AND(Z348=1,$H$3=1),D348*U348,IF($H$3=2,D348,"N/A")))</f>
        <v>0</v>
      </c>
      <c r="F348" s="106" t="n">
        <f aca="false">E348*Y348</f>
        <v>0</v>
      </c>
      <c r="G348" s="118" t="n">
        <f aca="false">VLOOKUP($A348,Table,MATCH(G$4,Curves,0))</f>
        <v>3</v>
      </c>
      <c r="H348" s="119" t="n">
        <f aca="false">G348+$H$7</f>
        <v>3</v>
      </c>
      <c r="I348" s="118" t="n">
        <f aca="false">'Inputs-Summary'!$B$16</f>
        <v>1.85</v>
      </c>
      <c r="J348" s="118" t="n">
        <f aca="false">VLOOKUP($A348,Table,MATCH(J$4,Curves,0))</f>
        <v>5</v>
      </c>
      <c r="K348" s="119" t="n">
        <f aca="false">J348+$K$7</f>
        <v>5</v>
      </c>
      <c r="L348" s="120" t="n">
        <f aca="false">K348</f>
        <v>5</v>
      </c>
      <c r="M348" s="118" t="n">
        <f aca="false">VLOOKUP($A348,Table,MATCH(M$4,Curves,0))</f>
        <v>5</v>
      </c>
      <c r="N348" s="119" t="n">
        <f aca="false">M348+$N$7</f>
        <v>5</v>
      </c>
      <c r="O348" s="120" t="n">
        <f aca="false">N348</f>
        <v>5</v>
      </c>
      <c r="P348" s="109"/>
      <c r="Q348" s="120" t="n">
        <f aca="false">IF($F$3=1,M348+J348+G348,J348+G348)</f>
        <v>8</v>
      </c>
      <c r="R348" s="120" t="n">
        <f aca="false">IF($F$3=1,N348+K348+H348,K348+H348)</f>
        <v>8</v>
      </c>
      <c r="S348" s="120" t="n">
        <f aca="false">IF($F$3=1,O348+L348+I348,L348+I348)</f>
        <v>6.85</v>
      </c>
      <c r="T348" s="121"/>
      <c r="U348" s="67" t="n">
        <f aca="false">A349-A348</f>
        <v>31</v>
      </c>
      <c r="V348" s="122" t="n">
        <f aca="false">CHOOSE(F$3,A349+24,A348)</f>
        <v>47543</v>
      </c>
      <c r="W348" s="67" t="n">
        <f aca="false">V348-C$3</f>
        <v>1617</v>
      </c>
      <c r="X348" s="118" t="n">
        <f aca="false">VLOOKUP($A348,Table,MATCH(X$4,Curves,0))</f>
        <v>2</v>
      </c>
      <c r="Y348" s="123" t="n">
        <f aca="false">1/(1+CHOOSE(F$3,(X349+($K$3/10000))/2,(X348+($K$3/10000))/2))^(2*W348/365.25)</f>
        <v>0.00216081392033167</v>
      </c>
      <c r="Z348" s="67" t="n">
        <f aca="false">IF(AND(mthbeg&lt;=A348,mthend&gt;=A348),1,0)</f>
        <v>0</v>
      </c>
      <c r="AA348" s="67" t="n">
        <f aca="false">U348*Z348</f>
        <v>0</v>
      </c>
      <c r="AC348" s="110" t="n">
        <f aca="false">F348*(H348-I348)</f>
        <v>0</v>
      </c>
      <c r="AD348" s="49"/>
      <c r="AE348" s="124"/>
    </row>
    <row r="349" customFormat="false" ht="12" hidden="false" customHeight="true" outlineLevel="0" collapsed="false">
      <c r="A349" s="115" t="n">
        <f aca="false">EDATE(A348,1)</f>
        <v>47574</v>
      </c>
      <c r="B349" s="116" t="n">
        <f aca="false">'Inputs-Summary'!$B$7</f>
        <v>3017157.21662952</v>
      </c>
      <c r="C349" s="57"/>
      <c r="D349" s="117" t="n">
        <f aca="false">B349+C349</f>
        <v>3017157.21662952</v>
      </c>
      <c r="E349" s="106" t="n">
        <f aca="false">IF(Z349=0,0,IF(AND(Z349=1,$H$3=1),D349*U349,IF($H$3=2,D349,"N/A")))</f>
        <v>0</v>
      </c>
      <c r="F349" s="106" t="n">
        <f aca="false">E349*Y349</f>
        <v>0</v>
      </c>
      <c r="G349" s="118" t="n">
        <f aca="false">VLOOKUP($A349,Table,MATCH(G$4,Curves,0))</f>
        <v>3</v>
      </c>
      <c r="H349" s="119" t="n">
        <f aca="false">G349+$H$7</f>
        <v>3</v>
      </c>
      <c r="I349" s="118" t="n">
        <f aca="false">'Inputs-Summary'!$B$16</f>
        <v>1.85</v>
      </c>
      <c r="J349" s="118" t="n">
        <f aca="false">VLOOKUP($A349,Table,MATCH(J$4,Curves,0))</f>
        <v>5</v>
      </c>
      <c r="K349" s="119" t="n">
        <f aca="false">J349+$K$7</f>
        <v>5</v>
      </c>
      <c r="L349" s="120" t="n">
        <f aca="false">K349</f>
        <v>5</v>
      </c>
      <c r="M349" s="118" t="n">
        <f aca="false">VLOOKUP($A349,Table,MATCH(M$4,Curves,0))</f>
        <v>5</v>
      </c>
      <c r="N349" s="119" t="n">
        <f aca="false">M349+$N$7</f>
        <v>5</v>
      </c>
      <c r="O349" s="120" t="n">
        <f aca="false">N349</f>
        <v>5</v>
      </c>
      <c r="P349" s="109"/>
      <c r="Q349" s="120" t="n">
        <f aca="false">IF($F$3=1,M349+J349+G349,J349+G349)</f>
        <v>8</v>
      </c>
      <c r="R349" s="120" t="n">
        <f aca="false">IF($F$3=1,N349+K349+H349,K349+H349)</f>
        <v>8</v>
      </c>
      <c r="S349" s="120" t="n">
        <f aca="false">IF($F$3=1,O349+L349+I349,L349+I349)</f>
        <v>6.85</v>
      </c>
      <c r="T349" s="121"/>
      <c r="U349" s="67" t="n">
        <f aca="false">A350-A349</f>
        <v>30</v>
      </c>
      <c r="V349" s="122" t="n">
        <f aca="false">CHOOSE(F$3,A350+24,A349)</f>
        <v>47574</v>
      </c>
      <c r="W349" s="67" t="n">
        <f aca="false">V349-C$3</f>
        <v>1648</v>
      </c>
      <c r="X349" s="118" t="n">
        <f aca="false">VLOOKUP($A349,Table,MATCH(X$4,Curves,0))</f>
        <v>2</v>
      </c>
      <c r="Y349" s="123" t="n">
        <f aca="false">1/(1+CHOOSE(F$3,(X350+($K$3/10000))/2,(X349+($K$3/10000))/2))^(2*W349/365.25)</f>
        <v>0.00192096081499571</v>
      </c>
      <c r="Z349" s="67" t="n">
        <f aca="false">IF(AND(mthbeg&lt;=A349,mthend&gt;=A349),1,0)</f>
        <v>0</v>
      </c>
      <c r="AA349" s="67" t="n">
        <f aca="false">U349*Z349</f>
        <v>0</v>
      </c>
      <c r="AC349" s="110" t="n">
        <f aca="false">F349*(H349-I349)</f>
        <v>0</v>
      </c>
      <c r="AD349" s="49"/>
      <c r="AE349" s="124"/>
    </row>
    <row r="350" customFormat="false" ht="12" hidden="false" customHeight="true" outlineLevel="0" collapsed="false">
      <c r="A350" s="115" t="n">
        <f aca="false">EDATE(A349,1)</f>
        <v>47604</v>
      </c>
      <c r="B350" s="116" t="n">
        <f aca="false">'Inputs-Summary'!$B$7</f>
        <v>3017157.21662952</v>
      </c>
      <c r="C350" s="57"/>
      <c r="D350" s="117" t="n">
        <f aca="false">B350+C350</f>
        <v>3017157.21662952</v>
      </c>
      <c r="E350" s="106" t="n">
        <f aca="false">IF(Z350=0,0,IF(AND(Z350=1,$H$3=1),D350*U350,IF($H$3=2,D350,"N/A")))</f>
        <v>0</v>
      </c>
      <c r="F350" s="106" t="n">
        <f aca="false">E350*Y350</f>
        <v>0</v>
      </c>
      <c r="G350" s="118" t="n">
        <f aca="false">VLOOKUP($A350,Table,MATCH(G$4,Curves,0))</f>
        <v>3</v>
      </c>
      <c r="H350" s="119" t="n">
        <f aca="false">G350+$H$7</f>
        <v>3</v>
      </c>
      <c r="I350" s="118" t="n">
        <f aca="false">'Inputs-Summary'!$B$16</f>
        <v>1.85</v>
      </c>
      <c r="J350" s="118" t="n">
        <f aca="false">VLOOKUP($A350,Table,MATCH(J$4,Curves,0))</f>
        <v>5</v>
      </c>
      <c r="K350" s="119" t="n">
        <f aca="false">J350+$K$7</f>
        <v>5</v>
      </c>
      <c r="L350" s="120" t="n">
        <f aca="false">K350</f>
        <v>5</v>
      </c>
      <c r="M350" s="118" t="n">
        <f aca="false">VLOOKUP($A350,Table,MATCH(M$4,Curves,0))</f>
        <v>5</v>
      </c>
      <c r="N350" s="119" t="n">
        <f aca="false">M350+$N$7</f>
        <v>5</v>
      </c>
      <c r="O350" s="120" t="n">
        <f aca="false">N350</f>
        <v>5</v>
      </c>
      <c r="P350" s="109"/>
      <c r="Q350" s="120" t="n">
        <f aca="false">IF($F$3=1,M350+J350+G350,J350+G350)</f>
        <v>8</v>
      </c>
      <c r="R350" s="120" t="n">
        <f aca="false">IF($F$3=1,N350+K350+H350,K350+H350)</f>
        <v>8</v>
      </c>
      <c r="S350" s="120" t="n">
        <f aca="false">IF($F$3=1,O350+L350+I350,L350+I350)</f>
        <v>6.85</v>
      </c>
      <c r="T350" s="121"/>
      <c r="U350" s="67" t="n">
        <f aca="false">A351-A350</f>
        <v>31</v>
      </c>
      <c r="V350" s="122" t="n">
        <f aca="false">CHOOSE(F$3,A351+24,A350)</f>
        <v>47604</v>
      </c>
      <c r="W350" s="67" t="n">
        <f aca="false">V350-C$3</f>
        <v>1678</v>
      </c>
      <c r="X350" s="118" t="n">
        <f aca="false">VLOOKUP($A350,Table,MATCH(X$4,Curves,0))</f>
        <v>2</v>
      </c>
      <c r="Y350" s="123" t="n">
        <f aca="false">1/(1+CHOOSE(F$3,(X351+($K$3/10000))/2,(X350+($K$3/10000))/2))^(2*W350/365.25)</f>
        <v>0.00171422566627405</v>
      </c>
      <c r="Z350" s="67" t="n">
        <f aca="false">IF(AND(mthbeg&lt;=A350,mthend&gt;=A350),1,0)</f>
        <v>0</v>
      </c>
      <c r="AA350" s="67" t="n">
        <f aca="false">U350*Z350</f>
        <v>0</v>
      </c>
      <c r="AC350" s="110" t="n">
        <f aca="false">F350*(H350-I350)</f>
        <v>0</v>
      </c>
      <c r="AD350" s="49"/>
      <c r="AE350" s="124"/>
    </row>
    <row r="351" customFormat="false" ht="12" hidden="false" customHeight="true" outlineLevel="0" collapsed="false">
      <c r="A351" s="115" t="n">
        <f aca="false">EDATE(A350,1)</f>
        <v>47635</v>
      </c>
      <c r="B351" s="116" t="n">
        <f aca="false">'Inputs-Summary'!$B$7</f>
        <v>3017157.21662952</v>
      </c>
      <c r="C351" s="57"/>
      <c r="D351" s="117" t="n">
        <f aca="false">B351+C351</f>
        <v>3017157.21662952</v>
      </c>
      <c r="E351" s="106" t="n">
        <f aca="false">IF(Z351=0,0,IF(AND(Z351=1,$H$3=1),D351*U351,IF($H$3=2,D351,"N/A")))</f>
        <v>0</v>
      </c>
      <c r="F351" s="106" t="n">
        <f aca="false">E351*Y351</f>
        <v>0</v>
      </c>
      <c r="G351" s="118" t="n">
        <f aca="false">VLOOKUP($A351,Table,MATCH(G$4,Curves,0))</f>
        <v>3</v>
      </c>
      <c r="H351" s="119" t="n">
        <f aca="false">G351+$H$7</f>
        <v>3</v>
      </c>
      <c r="I351" s="118" t="n">
        <f aca="false">'Inputs-Summary'!$B$16</f>
        <v>1.85</v>
      </c>
      <c r="J351" s="118" t="n">
        <f aca="false">VLOOKUP($A351,Table,MATCH(J$4,Curves,0))</f>
        <v>5</v>
      </c>
      <c r="K351" s="119" t="n">
        <f aca="false">J351+$K$7</f>
        <v>5</v>
      </c>
      <c r="L351" s="120" t="n">
        <f aca="false">K351</f>
        <v>5</v>
      </c>
      <c r="M351" s="118" t="n">
        <f aca="false">VLOOKUP($A351,Table,MATCH(M$4,Curves,0))</f>
        <v>5</v>
      </c>
      <c r="N351" s="119" t="n">
        <f aca="false">M351+$N$7</f>
        <v>5</v>
      </c>
      <c r="O351" s="120" t="n">
        <f aca="false">N351</f>
        <v>5</v>
      </c>
      <c r="P351" s="109"/>
      <c r="Q351" s="120" t="n">
        <f aca="false">IF($F$3=1,M351+J351+G351,J351+G351)</f>
        <v>8</v>
      </c>
      <c r="R351" s="120" t="n">
        <f aca="false">IF($F$3=1,N351+K351+H351,K351+H351)</f>
        <v>8</v>
      </c>
      <c r="S351" s="120" t="n">
        <f aca="false">IF($F$3=1,O351+L351+I351,L351+I351)</f>
        <v>6.85</v>
      </c>
      <c r="T351" s="121"/>
      <c r="U351" s="67" t="n">
        <f aca="false">A352-A351</f>
        <v>30</v>
      </c>
      <c r="V351" s="122" t="n">
        <f aca="false">CHOOSE(F$3,A352+24,A351)</f>
        <v>47635</v>
      </c>
      <c r="W351" s="67" t="n">
        <f aca="false">V351-C$3</f>
        <v>1709</v>
      </c>
      <c r="X351" s="118" t="n">
        <f aca="false">VLOOKUP($A351,Table,MATCH(X$4,Curves,0))</f>
        <v>2</v>
      </c>
      <c r="Y351" s="123" t="n">
        <f aca="false">1/(1+CHOOSE(F$3,(X352+($K$3/10000))/2,(X351+($K$3/10000))/2))^(2*W351/365.25)</f>
        <v>0.00152394442760111</v>
      </c>
      <c r="Z351" s="67" t="n">
        <f aca="false">IF(AND(mthbeg&lt;=A351,mthend&gt;=A351),1,0)</f>
        <v>0</v>
      </c>
      <c r="AA351" s="67" t="n">
        <f aca="false">U351*Z351</f>
        <v>0</v>
      </c>
      <c r="AC351" s="110" t="n">
        <f aca="false">F351*(H351-I351)</f>
        <v>0</v>
      </c>
      <c r="AD351" s="49"/>
      <c r="AE351" s="124"/>
    </row>
    <row r="352" customFormat="false" ht="12" hidden="false" customHeight="true" outlineLevel="0" collapsed="false">
      <c r="A352" s="115" t="n">
        <f aca="false">EDATE(A351,1)</f>
        <v>47665</v>
      </c>
      <c r="B352" s="116" t="n">
        <f aca="false">'Inputs-Summary'!$B$7</f>
        <v>3017157.21662952</v>
      </c>
      <c r="C352" s="57"/>
      <c r="D352" s="117" t="n">
        <f aca="false">B352+C352</f>
        <v>3017157.21662952</v>
      </c>
      <c r="E352" s="106" t="n">
        <f aca="false">IF(Z352=0,0,IF(AND(Z352=1,$H$3=1),D352*U352,IF($H$3=2,D352,"N/A")))</f>
        <v>0</v>
      </c>
      <c r="F352" s="106" t="n">
        <f aca="false">E352*Y352</f>
        <v>0</v>
      </c>
      <c r="G352" s="118" t="n">
        <f aca="false">VLOOKUP($A352,Table,MATCH(G$4,Curves,0))</f>
        <v>3</v>
      </c>
      <c r="H352" s="119" t="n">
        <f aca="false">G352+$H$7</f>
        <v>3</v>
      </c>
      <c r="I352" s="118" t="n">
        <f aca="false">'Inputs-Summary'!$B$16</f>
        <v>1.85</v>
      </c>
      <c r="J352" s="118" t="n">
        <f aca="false">VLOOKUP($A352,Table,MATCH(J$4,Curves,0))</f>
        <v>5</v>
      </c>
      <c r="K352" s="119" t="n">
        <f aca="false">J352+$K$7</f>
        <v>5</v>
      </c>
      <c r="L352" s="120" t="n">
        <f aca="false">K352</f>
        <v>5</v>
      </c>
      <c r="M352" s="118" t="n">
        <f aca="false">VLOOKUP($A352,Table,MATCH(M$4,Curves,0))</f>
        <v>5</v>
      </c>
      <c r="N352" s="119" t="n">
        <f aca="false">M352+$N$7</f>
        <v>5</v>
      </c>
      <c r="O352" s="120" t="n">
        <f aca="false">N352</f>
        <v>5</v>
      </c>
      <c r="P352" s="109"/>
      <c r="Q352" s="120" t="n">
        <f aca="false">IF($F$3=1,M352+J352+G352,J352+G352)</f>
        <v>8</v>
      </c>
      <c r="R352" s="120" t="n">
        <f aca="false">IF($F$3=1,N352+K352+H352,K352+H352)</f>
        <v>8</v>
      </c>
      <c r="S352" s="120" t="n">
        <f aca="false">IF($F$3=1,O352+L352+I352,L352+I352)</f>
        <v>6.85</v>
      </c>
      <c r="T352" s="121"/>
      <c r="U352" s="67" t="n">
        <f aca="false">A353-A352</f>
        <v>31</v>
      </c>
      <c r="V352" s="122" t="n">
        <f aca="false">CHOOSE(F$3,A353+24,A352)</f>
        <v>47665</v>
      </c>
      <c r="W352" s="67" t="n">
        <f aca="false">V352-C$3</f>
        <v>1739</v>
      </c>
      <c r="X352" s="118" t="n">
        <f aca="false">VLOOKUP($A352,Table,MATCH(X$4,Curves,0))</f>
        <v>2</v>
      </c>
      <c r="Y352" s="123" t="n">
        <f aca="false">1/(1+CHOOSE(F$3,(X353+($K$3/10000))/2,(X352+($K$3/10000))/2))^(2*W352/365.25)</f>
        <v>0.00135993646063778</v>
      </c>
      <c r="Z352" s="67" t="n">
        <f aca="false">IF(AND(mthbeg&lt;=A352,mthend&gt;=A352),1,0)</f>
        <v>0</v>
      </c>
      <c r="AA352" s="67" t="n">
        <f aca="false">U352*Z352</f>
        <v>0</v>
      </c>
      <c r="AC352" s="110" t="n">
        <f aca="false">F352*(H352-I352)</f>
        <v>0</v>
      </c>
      <c r="AD352" s="49"/>
      <c r="AE352" s="124"/>
    </row>
    <row r="353" customFormat="false" ht="12" hidden="false" customHeight="true" outlineLevel="0" collapsed="false">
      <c r="A353" s="115" t="n">
        <f aca="false">EDATE(A352,1)</f>
        <v>47696</v>
      </c>
      <c r="B353" s="116" t="n">
        <f aca="false">'Inputs-Summary'!$B$7</f>
        <v>3017157.21662952</v>
      </c>
      <c r="C353" s="57"/>
      <c r="D353" s="117" t="n">
        <f aca="false">B353+C353</f>
        <v>3017157.21662952</v>
      </c>
      <c r="E353" s="106" t="n">
        <f aca="false">IF(Z353=0,0,IF(AND(Z353=1,$H$3=1),D353*U353,IF($H$3=2,D353,"N/A")))</f>
        <v>0</v>
      </c>
      <c r="F353" s="106" t="n">
        <f aca="false">E353*Y353</f>
        <v>0</v>
      </c>
      <c r="G353" s="118" t="n">
        <f aca="false">VLOOKUP($A353,Table,MATCH(G$4,Curves,0))</f>
        <v>3</v>
      </c>
      <c r="H353" s="119" t="n">
        <f aca="false">G353+$H$7</f>
        <v>3</v>
      </c>
      <c r="I353" s="118" t="n">
        <f aca="false">'Inputs-Summary'!$B$16</f>
        <v>1.85</v>
      </c>
      <c r="J353" s="118" t="n">
        <f aca="false">VLOOKUP($A353,Table,MATCH(J$4,Curves,0))</f>
        <v>5</v>
      </c>
      <c r="K353" s="119" t="n">
        <f aca="false">J353+$K$7</f>
        <v>5</v>
      </c>
      <c r="L353" s="120" t="n">
        <f aca="false">K353</f>
        <v>5</v>
      </c>
      <c r="M353" s="118" t="n">
        <f aca="false">VLOOKUP($A353,Table,MATCH(M$4,Curves,0))</f>
        <v>5</v>
      </c>
      <c r="N353" s="119" t="n">
        <f aca="false">M353+$N$7</f>
        <v>5</v>
      </c>
      <c r="O353" s="120" t="n">
        <f aca="false">N353</f>
        <v>5</v>
      </c>
      <c r="P353" s="109"/>
      <c r="Q353" s="120" t="n">
        <f aca="false">IF($F$3=1,M353+J353+G353,J353+G353)</f>
        <v>8</v>
      </c>
      <c r="R353" s="120" t="n">
        <f aca="false">IF($F$3=1,N353+K353+H353,K353+H353)</f>
        <v>8</v>
      </c>
      <c r="S353" s="120" t="n">
        <f aca="false">IF($F$3=1,O353+L353+I353,L353+I353)</f>
        <v>6.85</v>
      </c>
      <c r="T353" s="121"/>
      <c r="U353" s="67" t="n">
        <f aca="false">A354-A353</f>
        <v>31</v>
      </c>
      <c r="V353" s="122" t="n">
        <f aca="false">CHOOSE(F$3,A354+24,A353)</f>
        <v>47696</v>
      </c>
      <c r="W353" s="67" t="n">
        <f aca="false">V353-C$3</f>
        <v>1770</v>
      </c>
      <c r="X353" s="118" t="n">
        <f aca="false">VLOOKUP($A353,Table,MATCH(X$4,Curves,0))</f>
        <v>2</v>
      </c>
      <c r="Y353" s="123" t="n">
        <f aca="false">1/(1+CHOOSE(F$3,(X354+($K$3/10000))/2,(X353+($K$3/10000))/2))^(2*W353/365.25)</f>
        <v>0.0012089817763522</v>
      </c>
      <c r="Z353" s="67" t="n">
        <f aca="false">IF(AND(mthbeg&lt;=A353,mthend&gt;=A353),1,0)</f>
        <v>0</v>
      </c>
      <c r="AA353" s="67" t="n">
        <f aca="false">U353*Z353</f>
        <v>0</v>
      </c>
      <c r="AC353" s="110" t="n">
        <f aca="false">F353*(H353-I353)</f>
        <v>0</v>
      </c>
      <c r="AD353" s="49"/>
      <c r="AE353" s="124"/>
    </row>
    <row r="354" customFormat="false" ht="12" hidden="false" customHeight="true" outlineLevel="0" collapsed="false">
      <c r="A354" s="115" t="n">
        <f aca="false">EDATE(A353,1)</f>
        <v>47727</v>
      </c>
      <c r="B354" s="116" t="n">
        <f aca="false">'Inputs-Summary'!$B$7</f>
        <v>3017157.21662952</v>
      </c>
      <c r="C354" s="57"/>
      <c r="D354" s="117" t="n">
        <f aca="false">B354+C354</f>
        <v>3017157.21662952</v>
      </c>
      <c r="E354" s="106" t="n">
        <f aca="false">IF(Z354=0,0,IF(AND(Z354=1,$H$3=1),D354*U354,IF($H$3=2,D354,"N/A")))</f>
        <v>0</v>
      </c>
      <c r="F354" s="106" t="n">
        <f aca="false">E354*Y354</f>
        <v>0</v>
      </c>
      <c r="G354" s="118" t="n">
        <f aca="false">VLOOKUP($A354,Table,MATCH(G$4,Curves,0))</f>
        <v>3</v>
      </c>
      <c r="H354" s="119" t="n">
        <f aca="false">G354+$H$7</f>
        <v>3</v>
      </c>
      <c r="I354" s="118" t="n">
        <f aca="false">'Inputs-Summary'!$B$16</f>
        <v>1.85</v>
      </c>
      <c r="J354" s="118" t="n">
        <f aca="false">VLOOKUP($A354,Table,MATCH(J$4,Curves,0))</f>
        <v>5</v>
      </c>
      <c r="K354" s="119" t="n">
        <f aca="false">J354+$K$7</f>
        <v>5</v>
      </c>
      <c r="L354" s="120" t="n">
        <f aca="false">K354</f>
        <v>5</v>
      </c>
      <c r="M354" s="118" t="n">
        <f aca="false">VLOOKUP($A354,Table,MATCH(M$4,Curves,0))</f>
        <v>5</v>
      </c>
      <c r="N354" s="119" t="n">
        <f aca="false">M354+$N$7</f>
        <v>5</v>
      </c>
      <c r="O354" s="120" t="n">
        <f aca="false">N354</f>
        <v>5</v>
      </c>
      <c r="P354" s="109"/>
      <c r="Q354" s="120" t="n">
        <f aca="false">IF($F$3=1,M354+J354+G354,J354+G354)</f>
        <v>8</v>
      </c>
      <c r="R354" s="120" t="n">
        <f aca="false">IF($F$3=1,N354+K354+H354,K354+H354)</f>
        <v>8</v>
      </c>
      <c r="S354" s="120" t="n">
        <f aca="false">IF($F$3=1,O354+L354+I354,L354+I354)</f>
        <v>6.85</v>
      </c>
      <c r="T354" s="121"/>
      <c r="U354" s="67" t="n">
        <f aca="false">A355-A354</f>
        <v>30</v>
      </c>
      <c r="V354" s="122" t="n">
        <f aca="false">CHOOSE(F$3,A355+24,A354)</f>
        <v>47727</v>
      </c>
      <c r="W354" s="67" t="n">
        <f aca="false">V354-C$3</f>
        <v>1801</v>
      </c>
      <c r="X354" s="118" t="n">
        <f aca="false">VLOOKUP($A354,Table,MATCH(X$4,Curves,0))</f>
        <v>2</v>
      </c>
      <c r="Y354" s="123" t="n">
        <f aca="false">1/(1+CHOOSE(F$3,(X355+($K$3/10000))/2,(X354+($K$3/10000))/2))^(2*W354/365.25)</f>
        <v>0.00107478325484872</v>
      </c>
      <c r="Z354" s="67" t="n">
        <f aca="false">IF(AND(mthbeg&lt;=A354,mthend&gt;=A354),1,0)</f>
        <v>0</v>
      </c>
      <c r="AA354" s="67" t="n">
        <f aca="false">U354*Z354</f>
        <v>0</v>
      </c>
      <c r="AC354" s="110" t="n">
        <f aca="false">F354*(H354-I354)</f>
        <v>0</v>
      </c>
      <c r="AD354" s="49"/>
      <c r="AE354" s="124"/>
    </row>
    <row r="355" customFormat="false" ht="12" hidden="false" customHeight="true" outlineLevel="0" collapsed="false">
      <c r="A355" s="115" t="n">
        <f aca="false">EDATE(A354,1)</f>
        <v>47757</v>
      </c>
      <c r="B355" s="116" t="n">
        <f aca="false">'Inputs-Summary'!$B$7</f>
        <v>3017157.21662952</v>
      </c>
      <c r="C355" s="57"/>
      <c r="D355" s="117" t="n">
        <f aca="false">B355+C355</f>
        <v>3017157.21662952</v>
      </c>
      <c r="E355" s="106" t="n">
        <f aca="false">IF(Z355=0,0,IF(AND(Z355=1,$H$3=1),D355*U355,IF($H$3=2,D355,"N/A")))</f>
        <v>0</v>
      </c>
      <c r="F355" s="106" t="n">
        <f aca="false">E355*Y355</f>
        <v>0</v>
      </c>
      <c r="G355" s="118" t="n">
        <f aca="false">VLOOKUP($A355,Table,MATCH(G$4,Curves,0))</f>
        <v>3</v>
      </c>
      <c r="H355" s="119" t="n">
        <f aca="false">G355+$H$7</f>
        <v>3</v>
      </c>
      <c r="I355" s="118" t="n">
        <f aca="false">'Inputs-Summary'!$B$16</f>
        <v>1.85</v>
      </c>
      <c r="J355" s="118" t="n">
        <f aca="false">VLOOKUP($A355,Table,MATCH(J$4,Curves,0))</f>
        <v>5</v>
      </c>
      <c r="K355" s="119" t="n">
        <f aca="false">J355+$K$7</f>
        <v>5</v>
      </c>
      <c r="L355" s="120" t="n">
        <f aca="false">K355</f>
        <v>5</v>
      </c>
      <c r="M355" s="118" t="n">
        <f aca="false">VLOOKUP($A355,Table,MATCH(M$4,Curves,0))</f>
        <v>5</v>
      </c>
      <c r="N355" s="119" t="n">
        <f aca="false">M355+$N$7</f>
        <v>5</v>
      </c>
      <c r="O355" s="120" t="n">
        <f aca="false">N355</f>
        <v>5</v>
      </c>
      <c r="P355" s="109"/>
      <c r="Q355" s="120" t="n">
        <f aca="false">IF($F$3=1,M355+J355+G355,J355+G355)</f>
        <v>8</v>
      </c>
      <c r="R355" s="120" t="n">
        <f aca="false">IF($F$3=1,N355+K355+H355,K355+H355)</f>
        <v>8</v>
      </c>
      <c r="S355" s="120" t="n">
        <f aca="false">IF($F$3=1,O355+L355+I355,L355+I355)</f>
        <v>6.85</v>
      </c>
      <c r="T355" s="121"/>
      <c r="U355" s="67" t="n">
        <f aca="false">A356-A355</f>
        <v>31</v>
      </c>
      <c r="V355" s="122" t="n">
        <f aca="false">CHOOSE(F$3,A356+24,A355)</f>
        <v>47757</v>
      </c>
      <c r="W355" s="67" t="n">
        <f aca="false">V355-C$3</f>
        <v>1831</v>
      </c>
      <c r="X355" s="118" t="n">
        <f aca="false">VLOOKUP($A355,Table,MATCH(X$4,Curves,0))</f>
        <v>2</v>
      </c>
      <c r="Y355" s="123" t="n">
        <f aca="false">1/(1+CHOOSE(F$3,(X356+($K$3/10000))/2,(X355+($K$3/10000))/2))^(2*W355/365.25)</f>
        <v>0.000959114327976201</v>
      </c>
      <c r="Z355" s="67" t="n">
        <f aca="false">IF(AND(mthbeg&lt;=A355,mthend&gt;=A355),1,0)</f>
        <v>0</v>
      </c>
      <c r="AA355" s="67" t="n">
        <f aca="false">U355*Z355</f>
        <v>0</v>
      </c>
      <c r="AC355" s="110" t="n">
        <f aca="false">F355*(H355-I355)</f>
        <v>0</v>
      </c>
      <c r="AD355" s="49"/>
      <c r="AE355" s="124"/>
    </row>
    <row r="356" customFormat="false" ht="12" hidden="false" customHeight="true" outlineLevel="0" collapsed="false">
      <c r="A356" s="115" t="n">
        <f aca="false">EDATE(A355,1)</f>
        <v>47788</v>
      </c>
      <c r="B356" s="116" t="n">
        <f aca="false">'Inputs-Summary'!$B$7</f>
        <v>3017157.21662952</v>
      </c>
      <c r="C356" s="57"/>
      <c r="D356" s="117" t="n">
        <f aca="false">B356+C356</f>
        <v>3017157.21662952</v>
      </c>
      <c r="E356" s="106" t="n">
        <f aca="false">IF(Z356=0,0,IF(AND(Z356=1,$H$3=1),D356*U356,IF($H$3=2,D356,"N/A")))</f>
        <v>0</v>
      </c>
      <c r="F356" s="106" t="n">
        <f aca="false">E356*Y356</f>
        <v>0</v>
      </c>
      <c r="G356" s="118" t="n">
        <f aca="false">VLOOKUP($A356,Table,MATCH(G$4,Curves,0))</f>
        <v>3</v>
      </c>
      <c r="H356" s="119" t="n">
        <f aca="false">G356+$H$7</f>
        <v>3</v>
      </c>
      <c r="I356" s="118" t="n">
        <f aca="false">'Inputs-Summary'!$B$16</f>
        <v>1.85</v>
      </c>
      <c r="J356" s="118" t="n">
        <f aca="false">VLOOKUP($A356,Table,MATCH(J$4,Curves,0))</f>
        <v>5</v>
      </c>
      <c r="K356" s="119" t="n">
        <f aca="false">J356+$K$7</f>
        <v>5</v>
      </c>
      <c r="L356" s="120" t="n">
        <f aca="false">K356</f>
        <v>5</v>
      </c>
      <c r="M356" s="118" t="n">
        <f aca="false">VLOOKUP($A356,Table,MATCH(M$4,Curves,0))</f>
        <v>5</v>
      </c>
      <c r="N356" s="119" t="n">
        <f aca="false">M356+$N$7</f>
        <v>5</v>
      </c>
      <c r="O356" s="120" t="n">
        <f aca="false">N356</f>
        <v>5</v>
      </c>
      <c r="P356" s="109"/>
      <c r="Q356" s="120" t="n">
        <f aca="false">IF($F$3=1,M356+J356+G356,J356+G356)</f>
        <v>8</v>
      </c>
      <c r="R356" s="120" t="n">
        <f aca="false">IF($F$3=1,N356+K356+H356,K356+H356)</f>
        <v>8</v>
      </c>
      <c r="S356" s="120" t="n">
        <f aca="false">IF($F$3=1,O356+L356+I356,L356+I356)</f>
        <v>6.85</v>
      </c>
      <c r="T356" s="121"/>
      <c r="U356" s="67" t="n">
        <f aca="false">A357-A356</f>
        <v>30</v>
      </c>
      <c r="V356" s="122" t="n">
        <f aca="false">CHOOSE(F$3,A357+24,A356)</f>
        <v>47788</v>
      </c>
      <c r="W356" s="67" t="n">
        <f aca="false">V356-C$3</f>
        <v>1862</v>
      </c>
      <c r="X356" s="118" t="n">
        <f aca="false">VLOOKUP($A356,Table,MATCH(X$4,Curves,0))</f>
        <v>2</v>
      </c>
      <c r="Y356" s="123" t="n">
        <f aca="false">1/(1+CHOOSE(F$3,(X357+($K$3/10000))/2,(X356+($K$3/10000))/2))^(2*W356/365.25)</f>
        <v>0.00085265141241798</v>
      </c>
      <c r="Z356" s="67" t="n">
        <f aca="false">IF(AND(mthbeg&lt;=A356,mthend&gt;=A356),1,0)</f>
        <v>0</v>
      </c>
      <c r="AA356" s="67" t="n">
        <f aca="false">U356*Z356</f>
        <v>0</v>
      </c>
      <c r="AC356" s="110" t="n">
        <f aca="false">F356*(H356-I356)</f>
        <v>0</v>
      </c>
      <c r="AD356" s="49"/>
      <c r="AE356" s="124"/>
    </row>
    <row r="357" customFormat="false" ht="12" hidden="false" customHeight="true" outlineLevel="0" collapsed="false">
      <c r="A357" s="115" t="n">
        <f aca="false">EDATE(A356,1)</f>
        <v>47818</v>
      </c>
      <c r="B357" s="116" t="n">
        <f aca="false">'Inputs-Summary'!$B$7</f>
        <v>3017157.21662952</v>
      </c>
      <c r="C357" s="57"/>
      <c r="D357" s="117" t="n">
        <f aca="false">B357+C357</f>
        <v>3017157.21662952</v>
      </c>
      <c r="E357" s="106" t="n">
        <f aca="false">IF(Z357=0,0,IF(AND(Z357=1,$H$3=1),D357*U357,IF($H$3=2,D357,"N/A")))</f>
        <v>0</v>
      </c>
      <c r="F357" s="106" t="n">
        <f aca="false">E357*Y357</f>
        <v>0</v>
      </c>
      <c r="G357" s="118" t="n">
        <f aca="false">VLOOKUP($A357,Table,MATCH(G$4,Curves,0))</f>
        <v>3</v>
      </c>
      <c r="H357" s="119" t="n">
        <f aca="false">G357+$H$7</f>
        <v>3</v>
      </c>
      <c r="I357" s="118" t="n">
        <f aca="false">'Inputs-Summary'!$B$16</f>
        <v>1.85</v>
      </c>
      <c r="J357" s="118" t="n">
        <f aca="false">VLOOKUP($A357,Table,MATCH(J$4,Curves,0))</f>
        <v>5</v>
      </c>
      <c r="K357" s="119" t="n">
        <f aca="false">J357+$K$7</f>
        <v>5</v>
      </c>
      <c r="L357" s="120" t="n">
        <f aca="false">K357</f>
        <v>5</v>
      </c>
      <c r="M357" s="118" t="n">
        <f aca="false">VLOOKUP($A357,Table,MATCH(M$4,Curves,0))</f>
        <v>5</v>
      </c>
      <c r="N357" s="119" t="n">
        <f aca="false">M357+$N$7</f>
        <v>5</v>
      </c>
      <c r="O357" s="120" t="n">
        <f aca="false">N357</f>
        <v>5</v>
      </c>
      <c r="P357" s="109"/>
      <c r="Q357" s="120" t="n">
        <f aca="false">IF($F$3=1,M357+J357+G357,J357+G357)</f>
        <v>8</v>
      </c>
      <c r="R357" s="120" t="n">
        <f aca="false">IF($F$3=1,N357+K357+H357,K357+H357)</f>
        <v>8</v>
      </c>
      <c r="S357" s="120" t="n">
        <f aca="false">IF($F$3=1,O357+L357+I357,L357+I357)</f>
        <v>6.85</v>
      </c>
      <c r="T357" s="121"/>
      <c r="U357" s="67" t="n">
        <f aca="false">A358-A357</f>
        <v>31</v>
      </c>
      <c r="V357" s="122" t="n">
        <f aca="false">CHOOSE(F$3,A358+24,A357)</f>
        <v>47818</v>
      </c>
      <c r="W357" s="67" t="n">
        <f aca="false">V357-C$3</f>
        <v>1892</v>
      </c>
      <c r="X357" s="118" t="n">
        <f aca="false">VLOOKUP($A357,Table,MATCH(X$4,Curves,0))</f>
        <v>2</v>
      </c>
      <c r="Y357" s="123" t="n">
        <f aca="false">1/(1+CHOOSE(F$3,(X358+($K$3/10000))/2,(X357+($K$3/10000))/2))^(2*W357/365.25)</f>
        <v>0.00076088847005189</v>
      </c>
      <c r="Z357" s="67" t="n">
        <f aca="false">IF(AND(mthbeg&lt;=A357,mthend&gt;=A357),1,0)</f>
        <v>0</v>
      </c>
      <c r="AA357" s="67" t="n">
        <f aca="false">U357*Z357</f>
        <v>0</v>
      </c>
      <c r="AC357" s="110" t="n">
        <f aca="false">F357*(H357-I357)</f>
        <v>0</v>
      </c>
      <c r="AD357" s="49"/>
      <c r="AE357" s="124"/>
    </row>
    <row r="358" customFormat="false" ht="12" hidden="false" customHeight="true" outlineLevel="0" collapsed="false">
      <c r="A358" s="115" t="n">
        <f aca="false">EDATE(A357,1)</f>
        <v>47849</v>
      </c>
      <c r="B358" s="116" t="n">
        <f aca="false">'Inputs-Summary'!$B$7</f>
        <v>3017157.21662952</v>
      </c>
      <c r="C358" s="57"/>
      <c r="D358" s="117" t="n">
        <f aca="false">B358+C358</f>
        <v>3017157.21662952</v>
      </c>
      <c r="E358" s="106" t="n">
        <f aca="false">IF(Z358=0,0,IF(AND(Z358=1,$H$3=1),D358*U358,IF($H$3=2,D358,"N/A")))</f>
        <v>0</v>
      </c>
      <c r="F358" s="106" t="n">
        <f aca="false">E358*Y358</f>
        <v>0</v>
      </c>
      <c r="G358" s="118" t="n">
        <f aca="false">VLOOKUP($A358,Table,MATCH(G$4,Curves,0))</f>
        <v>3</v>
      </c>
      <c r="H358" s="119" t="n">
        <f aca="false">G358+$H$7</f>
        <v>3</v>
      </c>
      <c r="I358" s="118" t="n">
        <f aca="false">'Inputs-Summary'!$B$16</f>
        <v>1.85</v>
      </c>
      <c r="J358" s="118" t="n">
        <f aca="false">VLOOKUP($A358,Table,MATCH(J$4,Curves,0))</f>
        <v>5</v>
      </c>
      <c r="K358" s="119" t="n">
        <f aca="false">J358+$K$7</f>
        <v>5</v>
      </c>
      <c r="L358" s="120" t="n">
        <f aca="false">K358</f>
        <v>5</v>
      </c>
      <c r="M358" s="118" t="n">
        <f aca="false">VLOOKUP($A358,Table,MATCH(M$4,Curves,0))</f>
        <v>5</v>
      </c>
      <c r="N358" s="119" t="n">
        <f aca="false">M358+$N$7</f>
        <v>5</v>
      </c>
      <c r="O358" s="120" t="n">
        <f aca="false">N358</f>
        <v>5</v>
      </c>
      <c r="P358" s="109"/>
      <c r="Q358" s="120" t="n">
        <f aca="false">IF($F$3=1,M358+J358+G358,J358+G358)</f>
        <v>8</v>
      </c>
      <c r="R358" s="120" t="n">
        <f aca="false">IF($F$3=1,N358+K358+H358,K358+H358)</f>
        <v>8</v>
      </c>
      <c r="S358" s="120" t="n">
        <f aca="false">IF($F$3=1,O358+L358+I358,L358+I358)</f>
        <v>6.85</v>
      </c>
      <c r="T358" s="121"/>
      <c r="U358" s="67" t="n">
        <f aca="false">A359-A358</f>
        <v>31</v>
      </c>
      <c r="V358" s="122" t="n">
        <f aca="false">CHOOSE(F$3,A359+24,A358)</f>
        <v>47849</v>
      </c>
      <c r="W358" s="67" t="n">
        <f aca="false">V358-C$3</f>
        <v>1923</v>
      </c>
      <c r="X358" s="118" t="n">
        <f aca="false">VLOOKUP($A358,Table,MATCH(X$4,Curves,0))</f>
        <v>2</v>
      </c>
      <c r="Y358" s="123" t="n">
        <f aca="false">1/(1+CHOOSE(F$3,(X359+($K$3/10000))/2,(X358+($K$3/10000))/2))^(2*W358/365.25)</f>
        <v>0.00067642887793289</v>
      </c>
      <c r="Z358" s="67" t="n">
        <f aca="false">IF(AND(mthbeg&lt;=A358,mthend&gt;=A358),1,0)</f>
        <v>0</v>
      </c>
      <c r="AA358" s="67" t="n">
        <f aca="false">U358*Z358</f>
        <v>0</v>
      </c>
      <c r="AC358" s="110" t="n">
        <f aca="false">F358*(H358-I358)</f>
        <v>0</v>
      </c>
      <c r="AD358" s="49"/>
      <c r="AE358" s="124"/>
    </row>
    <row r="359" customFormat="false" ht="12" hidden="false" customHeight="true" outlineLevel="0" collapsed="false">
      <c r="A359" s="115" t="n">
        <f aca="false">EDATE(A358,1)</f>
        <v>47880</v>
      </c>
      <c r="B359" s="116" t="n">
        <f aca="false">'Inputs-Summary'!$B$7</f>
        <v>3017157.21662952</v>
      </c>
      <c r="C359" s="57"/>
      <c r="D359" s="117" t="n">
        <f aca="false">B359+C359</f>
        <v>3017157.21662952</v>
      </c>
      <c r="E359" s="106" t="n">
        <f aca="false">IF(Z359=0,0,IF(AND(Z359=1,$H$3=1),D359*U359,IF($H$3=2,D359,"N/A")))</f>
        <v>0</v>
      </c>
      <c r="F359" s="106" t="n">
        <f aca="false">E359*Y359</f>
        <v>0</v>
      </c>
      <c r="G359" s="118" t="n">
        <f aca="false">VLOOKUP($A359,Table,MATCH(G$4,Curves,0))</f>
        <v>3</v>
      </c>
      <c r="H359" s="119" t="n">
        <f aca="false">G359+$H$7</f>
        <v>3</v>
      </c>
      <c r="I359" s="118" t="n">
        <f aca="false">'Inputs-Summary'!$B$16</f>
        <v>1.85</v>
      </c>
      <c r="J359" s="118" t="n">
        <f aca="false">VLOOKUP($A359,Table,MATCH(J$4,Curves,0))</f>
        <v>5</v>
      </c>
      <c r="K359" s="119" t="n">
        <f aca="false">J359+$K$7</f>
        <v>5</v>
      </c>
      <c r="L359" s="120" t="n">
        <f aca="false">K359</f>
        <v>5</v>
      </c>
      <c r="M359" s="118" t="n">
        <f aca="false">VLOOKUP($A359,Table,MATCH(M$4,Curves,0))</f>
        <v>5</v>
      </c>
      <c r="N359" s="119" t="n">
        <f aca="false">M359+$N$7</f>
        <v>5</v>
      </c>
      <c r="O359" s="120" t="n">
        <f aca="false">N359</f>
        <v>5</v>
      </c>
      <c r="P359" s="109"/>
      <c r="Q359" s="120" t="n">
        <f aca="false">IF($F$3=1,M359+J359+G359,J359+G359)</f>
        <v>8</v>
      </c>
      <c r="R359" s="120" t="n">
        <f aca="false">IF($F$3=1,N359+K359+H359,K359+H359)</f>
        <v>8</v>
      </c>
      <c r="S359" s="120" t="n">
        <f aca="false">IF($F$3=1,O359+L359+I359,L359+I359)</f>
        <v>6.85</v>
      </c>
      <c r="T359" s="121"/>
      <c r="U359" s="67" t="n">
        <f aca="false">A360-A359</f>
        <v>28</v>
      </c>
      <c r="V359" s="122" t="n">
        <f aca="false">CHOOSE(F$3,A360+24,A359)</f>
        <v>47880</v>
      </c>
      <c r="W359" s="67" t="n">
        <f aca="false">V359-C$3</f>
        <v>1954</v>
      </c>
      <c r="X359" s="118" t="n">
        <f aca="false">VLOOKUP($A359,Table,MATCH(X$4,Curves,0))</f>
        <v>2</v>
      </c>
      <c r="Y359" s="123" t="n">
        <f aca="false">1/(1+CHOOSE(F$3,(X360+($K$3/10000))/2,(X359+($K$3/10000))/2))^(2*W359/365.25)</f>
        <v>0.000601344408426039</v>
      </c>
      <c r="Z359" s="67" t="n">
        <f aca="false">IF(AND(mthbeg&lt;=A359,mthend&gt;=A359),1,0)</f>
        <v>0</v>
      </c>
      <c r="AA359" s="67" t="n">
        <f aca="false">U359*Z359</f>
        <v>0</v>
      </c>
      <c r="AC359" s="110" t="n">
        <f aca="false">F359*(H359-I359)</f>
        <v>0</v>
      </c>
      <c r="AD359" s="49"/>
      <c r="AE359" s="124"/>
    </row>
    <row r="360" customFormat="false" ht="12" hidden="false" customHeight="true" outlineLevel="0" collapsed="false">
      <c r="A360" s="115" t="n">
        <f aca="false">EDATE(A359,1)</f>
        <v>47908</v>
      </c>
      <c r="B360" s="116" t="n">
        <f aca="false">'Inputs-Summary'!$B$7</f>
        <v>3017157.21662952</v>
      </c>
      <c r="C360" s="57"/>
      <c r="D360" s="117" t="n">
        <f aca="false">B360+C360</f>
        <v>3017157.21662952</v>
      </c>
      <c r="E360" s="106" t="n">
        <f aca="false">IF(Z360=0,0,IF(AND(Z360=1,$H$3=1),D360*U360,IF($H$3=2,D360,"N/A")))</f>
        <v>0</v>
      </c>
      <c r="F360" s="106" t="n">
        <f aca="false">E360*Y360</f>
        <v>0</v>
      </c>
      <c r="G360" s="118" t="n">
        <f aca="false">VLOOKUP($A360,Table,MATCH(G$4,Curves,0))</f>
        <v>3</v>
      </c>
      <c r="H360" s="119" t="n">
        <f aca="false">G360+$H$7</f>
        <v>3</v>
      </c>
      <c r="I360" s="118" t="n">
        <f aca="false">'Inputs-Summary'!$B$16</f>
        <v>1.85</v>
      </c>
      <c r="J360" s="118" t="n">
        <f aca="false">VLOOKUP($A360,Table,MATCH(J$4,Curves,0))</f>
        <v>5</v>
      </c>
      <c r="K360" s="119" t="n">
        <f aca="false">J360+$K$7</f>
        <v>5</v>
      </c>
      <c r="L360" s="120" t="n">
        <f aca="false">K360</f>
        <v>5</v>
      </c>
      <c r="M360" s="118" t="n">
        <f aca="false">VLOOKUP($A360,Table,MATCH(M$4,Curves,0))</f>
        <v>5</v>
      </c>
      <c r="N360" s="119" t="n">
        <f aca="false">M360+$N$7</f>
        <v>5</v>
      </c>
      <c r="O360" s="120" t="n">
        <f aca="false">N360</f>
        <v>5</v>
      </c>
      <c r="P360" s="109"/>
      <c r="Q360" s="120" t="n">
        <f aca="false">IF($F$3=1,M360+J360+G360,J360+G360)</f>
        <v>8</v>
      </c>
      <c r="R360" s="120" t="n">
        <f aca="false">IF($F$3=1,N360+K360+H360,K360+H360)</f>
        <v>8</v>
      </c>
      <c r="S360" s="120" t="n">
        <f aca="false">IF($F$3=1,O360+L360+I360,L360+I360)</f>
        <v>6.85</v>
      </c>
      <c r="T360" s="121"/>
      <c r="U360" s="67" t="n">
        <f aca="false">A361-A360</f>
        <v>31</v>
      </c>
      <c r="V360" s="122" t="n">
        <f aca="false">CHOOSE(F$3,A361+24,A360)</f>
        <v>47908</v>
      </c>
      <c r="W360" s="67" t="n">
        <f aca="false">V360-C$3</f>
        <v>1982</v>
      </c>
      <c r="X360" s="118" t="n">
        <f aca="false">VLOOKUP($A360,Table,MATCH(X$4,Curves,0))</f>
        <v>2</v>
      </c>
      <c r="Y360" s="123" t="n">
        <f aca="false">1/(1+CHOOSE(F$3,(X361+($K$3/10000))/2,(X360+($K$3/10000))/2))^(2*W360/365.25)</f>
        <v>0.000540716304480499</v>
      </c>
      <c r="Z360" s="67" t="n">
        <f aca="false">IF(AND(mthbeg&lt;=A360,mthend&gt;=A360),1,0)</f>
        <v>0</v>
      </c>
      <c r="AA360" s="67" t="n">
        <f aca="false">U360*Z360</f>
        <v>0</v>
      </c>
      <c r="AC360" s="110" t="n">
        <f aca="false">F360*(H360-I360)</f>
        <v>0</v>
      </c>
      <c r="AD360" s="49"/>
      <c r="AE360" s="124"/>
    </row>
    <row r="361" customFormat="false" ht="12" hidden="false" customHeight="true" outlineLevel="0" collapsed="false">
      <c r="A361" s="115" t="n">
        <f aca="false">EDATE(A360,1)</f>
        <v>47939</v>
      </c>
      <c r="B361" s="116" t="n">
        <f aca="false">'Inputs-Summary'!$B$7</f>
        <v>3017157.21662952</v>
      </c>
      <c r="C361" s="57"/>
      <c r="D361" s="117" t="n">
        <f aca="false">B361+C361</f>
        <v>3017157.21662952</v>
      </c>
      <c r="E361" s="106" t="n">
        <f aca="false">IF(Z361=0,0,IF(AND(Z361=1,$H$3=1),D361*U361,IF($H$3=2,D361,"N/A")))</f>
        <v>0</v>
      </c>
      <c r="F361" s="106" t="n">
        <f aca="false">E361*Y361</f>
        <v>0</v>
      </c>
      <c r="G361" s="118" t="n">
        <f aca="false">VLOOKUP($A361,Table,MATCH(G$4,Curves,0))</f>
        <v>3</v>
      </c>
      <c r="H361" s="119" t="n">
        <f aca="false">G361+$H$7</f>
        <v>3</v>
      </c>
      <c r="I361" s="118" t="n">
        <f aca="false">'Inputs-Summary'!$B$16</f>
        <v>1.85</v>
      </c>
      <c r="J361" s="118" t="n">
        <f aca="false">VLOOKUP($A361,Table,MATCH(J$4,Curves,0))</f>
        <v>5</v>
      </c>
      <c r="K361" s="119" t="n">
        <f aca="false">J361+$K$7</f>
        <v>5</v>
      </c>
      <c r="L361" s="120" t="n">
        <f aca="false">K361</f>
        <v>5</v>
      </c>
      <c r="M361" s="118" t="n">
        <f aca="false">VLOOKUP($A361,Table,MATCH(M$4,Curves,0))</f>
        <v>5</v>
      </c>
      <c r="N361" s="119" t="n">
        <f aca="false">M361+$N$7</f>
        <v>5</v>
      </c>
      <c r="O361" s="120" t="n">
        <f aca="false">N361</f>
        <v>5</v>
      </c>
      <c r="P361" s="109"/>
      <c r="Q361" s="120" t="n">
        <f aca="false">IF($F$3=1,M361+J361+G361,J361+G361)</f>
        <v>8</v>
      </c>
      <c r="R361" s="120" t="n">
        <f aca="false">IF($F$3=1,N361+K361+H361,K361+H361)</f>
        <v>8</v>
      </c>
      <c r="S361" s="120" t="n">
        <f aca="false">IF($F$3=1,O361+L361+I361,L361+I361)</f>
        <v>6.85</v>
      </c>
      <c r="T361" s="121"/>
      <c r="U361" s="67" t="n">
        <f aca="false">A362-A361</f>
        <v>30</v>
      </c>
      <c r="V361" s="122" t="n">
        <f aca="false">CHOOSE(F$3,A362+24,A361)</f>
        <v>47939</v>
      </c>
      <c r="W361" s="67" t="n">
        <f aca="false">V361-C$3</f>
        <v>2013</v>
      </c>
      <c r="X361" s="118" t="n">
        <f aca="false">VLOOKUP($A361,Table,MATCH(X$4,Curves,0))</f>
        <v>2</v>
      </c>
      <c r="Y361" s="123" t="n">
        <f aca="false">1/(1+CHOOSE(F$3,(X362+($K$3/10000))/2,(X361+($K$3/10000))/2))^(2*W361/365.25)</f>
        <v>0.000480696103983307</v>
      </c>
      <c r="Z361" s="67" t="n">
        <f aca="false">IF(AND(mthbeg&lt;=A361,mthend&gt;=A361),1,0)</f>
        <v>0</v>
      </c>
      <c r="AA361" s="67" t="n">
        <f aca="false">U361*Z361</f>
        <v>0</v>
      </c>
      <c r="AC361" s="110" t="n">
        <f aca="false">F361*(H361-I361)</f>
        <v>0</v>
      </c>
      <c r="AD361" s="49"/>
      <c r="AE361" s="124"/>
    </row>
    <row r="362" customFormat="false" ht="12" hidden="false" customHeight="true" outlineLevel="0" collapsed="false">
      <c r="A362" s="115" t="n">
        <f aca="false">EDATE(A361,1)</f>
        <v>47969</v>
      </c>
      <c r="B362" s="116" t="n">
        <f aca="false">'Inputs-Summary'!$B$7</f>
        <v>3017157.21662952</v>
      </c>
      <c r="C362" s="57"/>
      <c r="D362" s="117" t="n">
        <f aca="false">B362+C362</f>
        <v>3017157.21662952</v>
      </c>
      <c r="E362" s="106" t="n">
        <f aca="false">IF(Z362=0,0,IF(AND(Z362=1,$H$3=1),D362*U362,IF($H$3=2,D362,"N/A")))</f>
        <v>0</v>
      </c>
      <c r="F362" s="106" t="n">
        <f aca="false">E362*Y362</f>
        <v>0</v>
      </c>
      <c r="G362" s="118" t="n">
        <f aca="false">VLOOKUP($A362,Table,MATCH(G$4,Curves,0))</f>
        <v>3</v>
      </c>
      <c r="H362" s="119" t="n">
        <f aca="false">G362+$H$7</f>
        <v>3</v>
      </c>
      <c r="I362" s="118" t="n">
        <f aca="false">'Inputs-Summary'!$B$16</f>
        <v>1.85</v>
      </c>
      <c r="J362" s="118" t="n">
        <f aca="false">VLOOKUP($A362,Table,MATCH(J$4,Curves,0))</f>
        <v>5</v>
      </c>
      <c r="K362" s="119" t="n">
        <f aca="false">J362+$K$7</f>
        <v>5</v>
      </c>
      <c r="L362" s="120" t="n">
        <f aca="false">K362</f>
        <v>5</v>
      </c>
      <c r="M362" s="118" t="n">
        <f aca="false">VLOOKUP($A362,Table,MATCH(M$4,Curves,0))</f>
        <v>5</v>
      </c>
      <c r="N362" s="119" t="n">
        <f aca="false">M362+$N$7</f>
        <v>5</v>
      </c>
      <c r="O362" s="120" t="n">
        <f aca="false">N362</f>
        <v>5</v>
      </c>
      <c r="P362" s="109"/>
      <c r="Q362" s="120" t="n">
        <f aca="false">IF($F$3=1,M362+J362+G362,J362+G362)</f>
        <v>8</v>
      </c>
      <c r="R362" s="120" t="n">
        <f aca="false">IF($F$3=1,N362+K362+H362,K362+H362)</f>
        <v>8</v>
      </c>
      <c r="S362" s="120" t="n">
        <f aca="false">IF($F$3=1,O362+L362+I362,L362+I362)</f>
        <v>6.85</v>
      </c>
      <c r="T362" s="121"/>
      <c r="U362" s="67" t="n">
        <f aca="false">A363-A362</f>
        <v>31</v>
      </c>
      <c r="V362" s="122" t="n">
        <f aca="false">CHOOSE(F$3,A363+24,A362)</f>
        <v>47969</v>
      </c>
      <c r="W362" s="67" t="n">
        <f aca="false">V362-C$3</f>
        <v>2043</v>
      </c>
      <c r="X362" s="118" t="n">
        <f aca="false">VLOOKUP($A362,Table,MATCH(X$4,Curves,0))</f>
        <v>2</v>
      </c>
      <c r="Y362" s="123" t="n">
        <f aca="false">1/(1+CHOOSE(F$3,(X363+($K$3/10000))/2,(X362+($K$3/10000))/2))^(2*W362/365.25)</f>
        <v>0.000428963252500266</v>
      </c>
      <c r="Z362" s="67" t="n">
        <f aca="false">IF(AND(mthbeg&lt;=A362,mthend&gt;=A362),1,0)</f>
        <v>0</v>
      </c>
      <c r="AA362" s="67" t="n">
        <f aca="false">U362*Z362</f>
        <v>0</v>
      </c>
      <c r="AC362" s="110" t="n">
        <f aca="false">F362*(H362-I362)</f>
        <v>0</v>
      </c>
      <c r="AD362" s="49"/>
      <c r="AE362" s="124"/>
    </row>
    <row r="363" customFormat="false" ht="12" hidden="false" customHeight="true" outlineLevel="0" collapsed="false">
      <c r="A363" s="115" t="n">
        <f aca="false">EDATE(A362,1)</f>
        <v>48000</v>
      </c>
      <c r="B363" s="116" t="n">
        <f aca="false">'Inputs-Summary'!$B$7</f>
        <v>3017157.21662952</v>
      </c>
      <c r="C363" s="57"/>
      <c r="D363" s="117" t="n">
        <f aca="false">B363+C363</f>
        <v>3017157.21662952</v>
      </c>
      <c r="E363" s="106" t="n">
        <f aca="false">IF(Z363=0,0,IF(AND(Z363=1,$H$3=1),D363*U363,IF($H$3=2,D363,"N/A")))</f>
        <v>0</v>
      </c>
      <c r="F363" s="106" t="n">
        <f aca="false">E363*Y363</f>
        <v>0</v>
      </c>
      <c r="G363" s="118" t="n">
        <f aca="false">VLOOKUP($A363,Table,MATCH(G$4,Curves,0))</f>
        <v>3</v>
      </c>
      <c r="H363" s="119" t="n">
        <f aca="false">G363+$H$7</f>
        <v>3</v>
      </c>
      <c r="I363" s="118" t="n">
        <f aca="false">'Inputs-Summary'!$B$16</f>
        <v>1.85</v>
      </c>
      <c r="J363" s="118" t="n">
        <f aca="false">VLOOKUP($A363,Table,MATCH(J$4,Curves,0))</f>
        <v>5</v>
      </c>
      <c r="K363" s="119" t="n">
        <f aca="false">J363+$K$7</f>
        <v>5</v>
      </c>
      <c r="L363" s="120" t="n">
        <f aca="false">K363</f>
        <v>5</v>
      </c>
      <c r="M363" s="118" t="n">
        <f aca="false">VLOOKUP($A363,Table,MATCH(M$4,Curves,0))</f>
        <v>5</v>
      </c>
      <c r="N363" s="119" t="n">
        <f aca="false">M363+$N$7</f>
        <v>5</v>
      </c>
      <c r="O363" s="120" t="n">
        <f aca="false">N363</f>
        <v>5</v>
      </c>
      <c r="P363" s="109"/>
      <c r="Q363" s="120" t="n">
        <f aca="false">IF($F$3=1,M363+J363+G363,J363+G363)</f>
        <v>8</v>
      </c>
      <c r="R363" s="120" t="n">
        <f aca="false">IF($F$3=1,N363+K363+H363,K363+H363)</f>
        <v>8</v>
      </c>
      <c r="S363" s="120" t="n">
        <f aca="false">IF($F$3=1,O363+L363+I363,L363+I363)</f>
        <v>6.85</v>
      </c>
      <c r="T363" s="121"/>
      <c r="U363" s="67" t="n">
        <f aca="false">A364-A363</f>
        <v>30</v>
      </c>
      <c r="V363" s="122" t="n">
        <f aca="false">CHOOSE(F$3,A364+24,A363)</f>
        <v>48000</v>
      </c>
      <c r="W363" s="67" t="n">
        <f aca="false">V363-C$3</f>
        <v>2074</v>
      </c>
      <c r="X363" s="118" t="n">
        <f aca="false">VLOOKUP($A363,Table,MATCH(X$4,Curves,0))</f>
        <v>2</v>
      </c>
      <c r="Y363" s="123" t="n">
        <f aca="false">1/(1+CHOOSE(F$3,(X364+($K$3/10000))/2,(X363+($K$3/10000))/2))^(2*W363/365.25)</f>
        <v>0.000381347783523924</v>
      </c>
      <c r="Z363" s="67" t="n">
        <f aca="false">IF(AND(mthbeg&lt;=A363,mthend&gt;=A363),1,0)</f>
        <v>0</v>
      </c>
      <c r="AA363" s="67" t="n">
        <f aca="false">U363*Z363</f>
        <v>0</v>
      </c>
      <c r="AC363" s="110" t="n">
        <f aca="false">F363*(H363-I363)</f>
        <v>0</v>
      </c>
      <c r="AD363" s="49"/>
      <c r="AE363" s="124"/>
    </row>
    <row r="364" customFormat="false" ht="12" hidden="false" customHeight="true" outlineLevel="0" collapsed="false">
      <c r="A364" s="115" t="n">
        <f aca="false">EDATE(A363,1)</f>
        <v>48030</v>
      </c>
      <c r="B364" s="116" t="n">
        <f aca="false">'Inputs-Summary'!$B$7</f>
        <v>3017157.21662952</v>
      </c>
      <c r="C364" s="57"/>
      <c r="D364" s="117" t="n">
        <f aca="false">B364+C364</f>
        <v>3017157.21662952</v>
      </c>
      <c r="E364" s="106" t="n">
        <f aca="false">IF(Z364=0,0,IF(AND(Z364=1,$H$3=1),D364*U364,IF($H$3=2,D364,"N/A")))</f>
        <v>0</v>
      </c>
      <c r="F364" s="106" t="n">
        <f aca="false">E364*Y364</f>
        <v>0</v>
      </c>
      <c r="G364" s="118" t="n">
        <f aca="false">VLOOKUP($A364,Table,MATCH(G$4,Curves,0))</f>
        <v>3</v>
      </c>
      <c r="H364" s="119" t="n">
        <f aca="false">G364+$H$7</f>
        <v>3</v>
      </c>
      <c r="I364" s="118" t="n">
        <f aca="false">'Inputs-Summary'!$B$16</f>
        <v>1.85</v>
      </c>
      <c r="J364" s="118" t="n">
        <f aca="false">VLOOKUP($A364,Table,MATCH(J$4,Curves,0))</f>
        <v>5</v>
      </c>
      <c r="K364" s="119" t="n">
        <f aca="false">J364+$K$7</f>
        <v>5</v>
      </c>
      <c r="L364" s="120" t="n">
        <f aca="false">K364</f>
        <v>5</v>
      </c>
      <c r="M364" s="118" t="n">
        <f aca="false">VLOOKUP($A364,Table,MATCH(M$4,Curves,0))</f>
        <v>5</v>
      </c>
      <c r="N364" s="119" t="n">
        <f aca="false">M364+$N$7</f>
        <v>5</v>
      </c>
      <c r="O364" s="120" t="n">
        <f aca="false">N364</f>
        <v>5</v>
      </c>
      <c r="P364" s="109"/>
      <c r="Q364" s="120" t="n">
        <f aca="false">IF($F$3=1,M364+J364+G364,J364+G364)</f>
        <v>8</v>
      </c>
      <c r="R364" s="120" t="n">
        <f aca="false">IF($F$3=1,N364+K364+H364,K364+H364)</f>
        <v>8</v>
      </c>
      <c r="S364" s="120" t="n">
        <f aca="false">IF($F$3=1,O364+L364+I364,L364+I364)</f>
        <v>6.85</v>
      </c>
      <c r="T364" s="121"/>
      <c r="U364" s="67" t="n">
        <f aca="false">A365-A364</f>
        <v>31</v>
      </c>
      <c r="V364" s="122" t="n">
        <f aca="false">CHOOSE(F$3,A365+24,A364)</f>
        <v>48030</v>
      </c>
      <c r="W364" s="67" t="n">
        <f aca="false">V364-C$3</f>
        <v>2104</v>
      </c>
      <c r="X364" s="118" t="n">
        <f aca="false">VLOOKUP($A364,Table,MATCH(X$4,Curves,0))</f>
        <v>2</v>
      </c>
      <c r="Y364" s="123" t="n">
        <f aca="false">1/(1+CHOOSE(F$3,(X365+($K$3/10000))/2,(X364+($K$3/10000))/2))^(2*W364/365.25)</f>
        <v>0.000340306867891467</v>
      </c>
      <c r="Z364" s="67" t="n">
        <f aca="false">IF(AND(mthbeg&lt;=A364,mthend&gt;=A364),1,0)</f>
        <v>0</v>
      </c>
      <c r="AA364" s="67" t="n">
        <f aca="false">U364*Z364</f>
        <v>0</v>
      </c>
      <c r="AC364" s="110" t="n">
        <f aca="false">F364*(H364-I364)</f>
        <v>0</v>
      </c>
      <c r="AD364" s="49"/>
      <c r="AE364" s="124"/>
    </row>
    <row r="365" customFormat="false" ht="12" hidden="false" customHeight="true" outlineLevel="0" collapsed="false">
      <c r="A365" s="115" t="n">
        <f aca="false">EDATE(A364,1)</f>
        <v>48061</v>
      </c>
      <c r="B365" s="116" t="n">
        <f aca="false">'Inputs-Summary'!$B$7</f>
        <v>3017157.21662952</v>
      </c>
      <c r="C365" s="57"/>
      <c r="D365" s="117" t="n">
        <f aca="false">B365+C365</f>
        <v>3017157.21662952</v>
      </c>
      <c r="E365" s="106" t="n">
        <f aca="false">IF(Z365=0,0,IF(AND(Z365=1,$H$3=1),D365*U365,IF($H$3=2,D365,"N/A")))</f>
        <v>0</v>
      </c>
      <c r="F365" s="106" t="n">
        <f aca="false">E365*Y365</f>
        <v>0</v>
      </c>
      <c r="G365" s="118" t="n">
        <f aca="false">VLOOKUP($A365,Table,MATCH(G$4,Curves,0))</f>
        <v>3</v>
      </c>
      <c r="H365" s="119" t="n">
        <f aca="false">G365+$H$7</f>
        <v>3</v>
      </c>
      <c r="I365" s="118" t="n">
        <f aca="false">'Inputs-Summary'!$B$16</f>
        <v>1.85</v>
      </c>
      <c r="J365" s="118" t="n">
        <f aca="false">VLOOKUP($A365,Table,MATCH(J$4,Curves,0))</f>
        <v>5</v>
      </c>
      <c r="K365" s="119" t="n">
        <f aca="false">J365+$K$7</f>
        <v>5</v>
      </c>
      <c r="L365" s="120" t="n">
        <f aca="false">K365</f>
        <v>5</v>
      </c>
      <c r="M365" s="118" t="n">
        <f aca="false">VLOOKUP($A365,Table,MATCH(M$4,Curves,0))</f>
        <v>5</v>
      </c>
      <c r="N365" s="119" t="n">
        <f aca="false">M365+$N$7</f>
        <v>5</v>
      </c>
      <c r="O365" s="120" t="n">
        <f aca="false">N365</f>
        <v>5</v>
      </c>
      <c r="P365" s="109"/>
      <c r="Q365" s="120" t="n">
        <f aca="false">IF($F$3=1,M365+J365+G365,J365+G365)</f>
        <v>8</v>
      </c>
      <c r="R365" s="120" t="n">
        <f aca="false">IF($F$3=1,N365+K365+H365,K365+H365)</f>
        <v>8</v>
      </c>
      <c r="S365" s="120" t="n">
        <f aca="false">IF($F$3=1,O365+L365+I365,L365+I365)</f>
        <v>6.85</v>
      </c>
      <c r="T365" s="121"/>
      <c r="U365" s="67" t="n">
        <f aca="false">A366-A365</f>
        <v>31</v>
      </c>
      <c r="V365" s="122" t="n">
        <f aca="false">CHOOSE(F$3,A366+24,A365)</f>
        <v>48061</v>
      </c>
      <c r="W365" s="67" t="n">
        <f aca="false">V365-C$3</f>
        <v>2135</v>
      </c>
      <c r="X365" s="118" t="n">
        <f aca="false">VLOOKUP($A365,Table,MATCH(X$4,Curves,0))</f>
        <v>2</v>
      </c>
      <c r="Y365" s="123" t="n">
        <f aca="false">1/(1+CHOOSE(F$3,(X366+($K$3/10000))/2,(X365+($K$3/10000))/2))^(2*W365/365.25)</f>
        <v>0.000302532370854539</v>
      </c>
      <c r="Z365" s="67" t="n">
        <f aca="false">IF(AND(mthbeg&lt;=A365,mthend&gt;=A365),1,0)</f>
        <v>0</v>
      </c>
      <c r="AA365" s="67" t="n">
        <f aca="false">U365*Z365</f>
        <v>0</v>
      </c>
      <c r="AC365" s="110" t="n">
        <f aca="false">F365*(H365-I365)</f>
        <v>0</v>
      </c>
      <c r="AD365" s="49"/>
      <c r="AE365" s="124"/>
    </row>
    <row r="366" customFormat="false" ht="12" hidden="false" customHeight="true" outlineLevel="0" collapsed="false">
      <c r="A366" s="115" t="n">
        <f aca="false">EDATE(A365,1)</f>
        <v>48092</v>
      </c>
      <c r="B366" s="116" t="n">
        <f aca="false">'Inputs-Summary'!$B$7</f>
        <v>3017157.21662952</v>
      </c>
      <c r="C366" s="57"/>
      <c r="D366" s="117" t="n">
        <f aca="false">B366+C366</f>
        <v>3017157.21662952</v>
      </c>
      <c r="E366" s="106" t="n">
        <f aca="false">IF(Z366=0,0,IF(AND(Z366=1,$H$3=1),D366*U366,IF($H$3=2,D366,"N/A")))</f>
        <v>0</v>
      </c>
      <c r="F366" s="106" t="n">
        <f aca="false">E366*Y366</f>
        <v>0</v>
      </c>
      <c r="G366" s="118" t="n">
        <f aca="false">VLOOKUP($A366,Table,MATCH(G$4,Curves,0))</f>
        <v>3</v>
      </c>
      <c r="H366" s="119" t="n">
        <f aca="false">G366+$H$7</f>
        <v>3</v>
      </c>
      <c r="I366" s="118" t="n">
        <f aca="false">'Inputs-Summary'!$B$16</f>
        <v>1.85</v>
      </c>
      <c r="J366" s="118" t="n">
        <f aca="false">VLOOKUP($A366,Table,MATCH(J$4,Curves,0))</f>
        <v>5</v>
      </c>
      <c r="K366" s="119" t="n">
        <f aca="false">J366+$K$7</f>
        <v>5</v>
      </c>
      <c r="L366" s="120" t="n">
        <f aca="false">K366</f>
        <v>5</v>
      </c>
      <c r="M366" s="118" t="n">
        <f aca="false">VLOOKUP($A366,Table,MATCH(M$4,Curves,0))</f>
        <v>5</v>
      </c>
      <c r="N366" s="119" t="n">
        <f aca="false">M366+$N$7</f>
        <v>5</v>
      </c>
      <c r="O366" s="120" t="n">
        <f aca="false">N366</f>
        <v>5</v>
      </c>
      <c r="P366" s="109"/>
      <c r="Q366" s="120" t="n">
        <f aca="false">IF($F$3=1,M366+J366+G366,J366+G366)</f>
        <v>8</v>
      </c>
      <c r="R366" s="120" t="n">
        <f aca="false">IF($F$3=1,N366+K366+H366,K366+H366)</f>
        <v>8</v>
      </c>
      <c r="S366" s="120" t="n">
        <f aca="false">IF($F$3=1,O366+L366+I366,L366+I366)</f>
        <v>6.85</v>
      </c>
      <c r="T366" s="121"/>
      <c r="U366" s="67" t="n">
        <f aca="false">A367-A366</f>
        <v>30</v>
      </c>
      <c r="V366" s="122" t="n">
        <f aca="false">CHOOSE(F$3,A367+24,A366)</f>
        <v>48092</v>
      </c>
      <c r="W366" s="67" t="n">
        <f aca="false">V366-C$3</f>
        <v>2166</v>
      </c>
      <c r="X366" s="118" t="n">
        <f aca="false">VLOOKUP($A366,Table,MATCH(X$4,Curves,0))</f>
        <v>2</v>
      </c>
      <c r="Y366" s="123" t="n">
        <f aca="false">1/(1+CHOOSE(F$3,(X367+($K$3/10000))/2,(X366+($K$3/10000))/2))^(2*W366/365.25)</f>
        <v>0.000268950891241073</v>
      </c>
      <c r="Z366" s="67" t="n">
        <f aca="false">IF(AND(mthbeg&lt;=A366,mthend&gt;=A366),1,0)</f>
        <v>0</v>
      </c>
      <c r="AA366" s="67" t="n">
        <f aca="false">U366*Z366</f>
        <v>0</v>
      </c>
      <c r="AC366" s="110" t="n">
        <f aca="false">F366*(H366-I366)</f>
        <v>0</v>
      </c>
      <c r="AD366" s="49"/>
      <c r="AE366" s="124"/>
    </row>
    <row r="367" customFormat="false" ht="12" hidden="false" customHeight="true" outlineLevel="0" collapsed="false">
      <c r="A367" s="115" t="n">
        <f aca="false">EDATE(A366,1)</f>
        <v>48122</v>
      </c>
      <c r="B367" s="116" t="n">
        <f aca="false">'Inputs-Summary'!$B$7</f>
        <v>3017157.21662952</v>
      </c>
      <c r="C367" s="57"/>
      <c r="D367" s="117" t="n">
        <f aca="false">B367+C367</f>
        <v>3017157.21662952</v>
      </c>
      <c r="E367" s="106" t="n">
        <f aca="false">IF(Z367=0,0,IF(AND(Z367=1,$H$3=1),D367*U367,IF($H$3=2,D367,"N/A")))</f>
        <v>0</v>
      </c>
      <c r="F367" s="106" t="n">
        <f aca="false">E367*Y367</f>
        <v>0</v>
      </c>
      <c r="G367" s="118" t="n">
        <f aca="false">VLOOKUP($A367,Table,MATCH(G$4,Curves,0))</f>
        <v>3</v>
      </c>
      <c r="H367" s="119" t="n">
        <f aca="false">G367+$H$7</f>
        <v>3</v>
      </c>
      <c r="I367" s="118" t="n">
        <f aca="false">'Inputs-Summary'!$B$16</f>
        <v>1.85</v>
      </c>
      <c r="J367" s="118" t="n">
        <f aca="false">VLOOKUP($A367,Table,MATCH(J$4,Curves,0))</f>
        <v>5</v>
      </c>
      <c r="K367" s="119" t="n">
        <f aca="false">J367+$K$7</f>
        <v>5</v>
      </c>
      <c r="L367" s="120" t="n">
        <f aca="false">K367</f>
        <v>5</v>
      </c>
      <c r="M367" s="118" t="n">
        <f aca="false">VLOOKUP($A367,Table,MATCH(M$4,Curves,0))</f>
        <v>5</v>
      </c>
      <c r="N367" s="119" t="n">
        <f aca="false">M367+$N$7</f>
        <v>5</v>
      </c>
      <c r="O367" s="120" t="n">
        <f aca="false">N367</f>
        <v>5</v>
      </c>
      <c r="P367" s="109"/>
      <c r="Q367" s="120" t="n">
        <f aca="false">IF($F$3=1,M367+J367+G367,J367+G367)</f>
        <v>8</v>
      </c>
      <c r="R367" s="120" t="n">
        <f aca="false">IF($F$3=1,N367+K367+H367,K367+H367)</f>
        <v>8</v>
      </c>
      <c r="S367" s="120" t="n">
        <f aca="false">IF($F$3=1,O367+L367+I367,L367+I367)</f>
        <v>6.85</v>
      </c>
      <c r="T367" s="121"/>
      <c r="U367" s="67" t="n">
        <f aca="false">A368-A367</f>
        <v>31</v>
      </c>
      <c r="V367" s="122" t="n">
        <f aca="false">CHOOSE(F$3,A368+24,A367)</f>
        <v>48122</v>
      </c>
      <c r="W367" s="67" t="n">
        <f aca="false">V367-C$3</f>
        <v>2196</v>
      </c>
      <c r="X367" s="118" t="n">
        <f aca="false">VLOOKUP($A367,Table,MATCH(X$4,Curves,0))</f>
        <v>2</v>
      </c>
      <c r="Y367" s="123" t="n">
        <f aca="false">1/(1+CHOOSE(F$3,(X368+($K$3/10000))/2,(X367+($K$3/10000))/2))^(2*W367/365.25)</f>
        <v>0.000240006207900579</v>
      </c>
      <c r="Z367" s="67" t="n">
        <f aca="false">IF(AND(mthbeg&lt;=A367,mthend&gt;=A367),1,0)</f>
        <v>0</v>
      </c>
      <c r="AA367" s="67" t="n">
        <f aca="false">U367*Z367</f>
        <v>0</v>
      </c>
      <c r="AC367" s="110" t="n">
        <f aca="false">F367*(H367-I367)</f>
        <v>0</v>
      </c>
      <c r="AD367" s="49"/>
      <c r="AE367" s="124"/>
    </row>
    <row r="368" customFormat="false" ht="12" hidden="false" customHeight="true" outlineLevel="0" collapsed="false">
      <c r="A368" s="115" t="n">
        <f aca="false">EDATE(A367,1)</f>
        <v>48153</v>
      </c>
      <c r="B368" s="116" t="n">
        <f aca="false">'Inputs-Summary'!$B$7</f>
        <v>3017157.21662952</v>
      </c>
      <c r="C368" s="57"/>
      <c r="D368" s="117" t="n">
        <f aca="false">B368+C368</f>
        <v>3017157.21662952</v>
      </c>
      <c r="E368" s="106" t="n">
        <f aca="false">IF(Z368=0,0,IF(AND(Z368=1,$H$3=1),D368*U368,IF($H$3=2,D368,"N/A")))</f>
        <v>0</v>
      </c>
      <c r="F368" s="106" t="n">
        <f aca="false">E368*Y368</f>
        <v>0</v>
      </c>
      <c r="G368" s="118" t="n">
        <f aca="false">VLOOKUP($A368,Table,MATCH(G$4,Curves,0))</f>
        <v>3</v>
      </c>
      <c r="H368" s="119" t="n">
        <f aca="false">G368+$H$7</f>
        <v>3</v>
      </c>
      <c r="I368" s="118" t="n">
        <f aca="false">'Inputs-Summary'!$B$16</f>
        <v>1.85</v>
      </c>
      <c r="J368" s="118" t="n">
        <f aca="false">VLOOKUP($A368,Table,MATCH(J$4,Curves,0))</f>
        <v>5</v>
      </c>
      <c r="K368" s="119" t="n">
        <f aca="false">J368+$K$7</f>
        <v>5</v>
      </c>
      <c r="L368" s="120" t="n">
        <f aca="false">K368</f>
        <v>5</v>
      </c>
      <c r="M368" s="118" t="n">
        <f aca="false">VLOOKUP($A368,Table,MATCH(M$4,Curves,0))</f>
        <v>5</v>
      </c>
      <c r="N368" s="119" t="n">
        <f aca="false">M368+$N$7</f>
        <v>5</v>
      </c>
      <c r="O368" s="120" t="n">
        <f aca="false">N368</f>
        <v>5</v>
      </c>
      <c r="P368" s="109"/>
      <c r="Q368" s="120" t="n">
        <f aca="false">IF($F$3=1,M368+J368+G368,J368+G368)</f>
        <v>8</v>
      </c>
      <c r="R368" s="120" t="n">
        <f aca="false">IF($F$3=1,N368+K368+H368,K368+H368)</f>
        <v>8</v>
      </c>
      <c r="S368" s="120" t="n">
        <f aca="false">IF($F$3=1,O368+L368+I368,L368+I368)</f>
        <v>6.85</v>
      </c>
      <c r="T368" s="121"/>
      <c r="U368" s="67" t="n">
        <f aca="false">A369-A368</f>
        <v>30</v>
      </c>
      <c r="V368" s="122" t="n">
        <f aca="false">CHOOSE(F$3,A369+24,A368)</f>
        <v>48153</v>
      </c>
      <c r="W368" s="67" t="n">
        <f aca="false">V368-C$3</f>
        <v>2227</v>
      </c>
      <c r="X368" s="118" t="n">
        <f aca="false">VLOOKUP($A368,Table,MATCH(X$4,Curves,0))</f>
        <v>2</v>
      </c>
      <c r="Y368" s="123" t="n">
        <f aca="false">1/(1+CHOOSE(F$3,(X369+($K$3/10000))/2,(X368+($K$3/10000))/2))^(2*W368/365.25)</f>
        <v>0.000213365212244635</v>
      </c>
      <c r="Z368" s="67" t="n">
        <f aca="false">IF(AND(mthbeg&lt;=A368,mthend&gt;=A368),1,0)</f>
        <v>0</v>
      </c>
      <c r="AA368" s="67" t="n">
        <f aca="false">U368*Z368</f>
        <v>0</v>
      </c>
      <c r="AC368" s="110" t="n">
        <f aca="false">F368*(H368-I368)</f>
        <v>0</v>
      </c>
      <c r="AD368" s="49"/>
      <c r="AE368" s="124"/>
    </row>
    <row r="369" customFormat="false" ht="12" hidden="false" customHeight="true" outlineLevel="0" collapsed="false">
      <c r="A369" s="115" t="n">
        <f aca="false">EDATE(A368,1)</f>
        <v>48183</v>
      </c>
      <c r="B369" s="116" t="n">
        <f aca="false">'Inputs-Summary'!$B$7</f>
        <v>3017157.21662952</v>
      </c>
      <c r="C369" s="57"/>
      <c r="D369" s="117" t="n">
        <f aca="false">B369+C369</f>
        <v>3017157.21662952</v>
      </c>
      <c r="E369" s="106" t="n">
        <f aca="false">IF(Z369=0,0,IF(AND(Z369=1,$H$3=1),D369*U369,IF($H$3=2,D369,"N/A")))</f>
        <v>0</v>
      </c>
      <c r="F369" s="106" t="n">
        <f aca="false">E369*Y369</f>
        <v>0</v>
      </c>
      <c r="G369" s="118" t="n">
        <f aca="false">VLOOKUP($A369,Table,MATCH(G$4,Curves,0))</f>
        <v>3</v>
      </c>
      <c r="H369" s="119" t="n">
        <f aca="false">G369+$H$7</f>
        <v>3</v>
      </c>
      <c r="I369" s="118" t="n">
        <f aca="false">'Inputs-Summary'!$B$16</f>
        <v>1.85</v>
      </c>
      <c r="J369" s="118" t="n">
        <f aca="false">VLOOKUP($A369,Table,MATCH(J$4,Curves,0))</f>
        <v>5</v>
      </c>
      <c r="K369" s="119" t="n">
        <f aca="false">J369+$K$7</f>
        <v>5</v>
      </c>
      <c r="L369" s="120" t="n">
        <f aca="false">K369</f>
        <v>5</v>
      </c>
      <c r="M369" s="118" t="n">
        <f aca="false">VLOOKUP($A369,Table,MATCH(M$4,Curves,0))</f>
        <v>5</v>
      </c>
      <c r="N369" s="119" t="n">
        <f aca="false">M369+$N$7</f>
        <v>5</v>
      </c>
      <c r="O369" s="120" t="n">
        <f aca="false">N369</f>
        <v>5</v>
      </c>
      <c r="P369" s="109"/>
      <c r="Q369" s="120" t="n">
        <f aca="false">IF($F$3=1,M369+J369+G369,J369+G369)</f>
        <v>8</v>
      </c>
      <c r="R369" s="120" t="n">
        <f aca="false">IF($F$3=1,N369+K369+H369,K369+H369)</f>
        <v>8</v>
      </c>
      <c r="S369" s="120" t="n">
        <f aca="false">IF($F$3=1,O369+L369+I369,L369+I369)</f>
        <v>6.85</v>
      </c>
      <c r="T369" s="121"/>
      <c r="U369" s="67" t="n">
        <f aca="false">A370-A369</f>
        <v>31</v>
      </c>
      <c r="V369" s="122" t="n">
        <f aca="false">CHOOSE(F$3,A370+24,A369)</f>
        <v>48183</v>
      </c>
      <c r="W369" s="67" t="n">
        <f aca="false">V369-C$3</f>
        <v>2257</v>
      </c>
      <c r="X369" s="118" t="n">
        <f aca="false">VLOOKUP($A369,Table,MATCH(X$4,Curves,0))</f>
        <v>2</v>
      </c>
      <c r="Y369" s="123" t="n">
        <f aca="false">1/(1+CHOOSE(F$3,(X370+($K$3/10000))/2,(X369+($K$3/10000))/2))^(2*W369/365.25)</f>
        <v>0.000190402698620679</v>
      </c>
      <c r="Z369" s="67" t="n">
        <f aca="false">IF(AND(mthbeg&lt;=A369,mthend&gt;=A369),1,0)</f>
        <v>0</v>
      </c>
      <c r="AA369" s="67" t="n">
        <f aca="false">U369*Z369</f>
        <v>0</v>
      </c>
      <c r="AC369" s="125" t="n">
        <f aca="false">F369*(H369-I369)</f>
        <v>0</v>
      </c>
      <c r="AD369" s="49"/>
      <c r="AE369" s="124"/>
    </row>
    <row r="370" customFormat="false" ht="12.75" hidden="false" customHeight="false" outlineLevel="0" collapsed="false">
      <c r="A370" s="115" t="n">
        <f aca="false">EDATE(A369,1)</f>
        <v>48214</v>
      </c>
      <c r="X370" s="118" t="n">
        <f aca="false">VLOOKUP($A370,Table,MATCH(X$4,Curves,0))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37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6" topLeftCell="R7" activePane="bottomRight" state="frozen"/>
      <selection pane="topLeft" activeCell="A1" activeCellId="0" sqref="A1"/>
      <selection pane="topRight" activeCell="R1" activeCellId="0" sqref="R1"/>
      <selection pane="bottomLeft" activeCell="A7" activeCellId="0" sqref="A7"/>
      <selection pane="bottomRight" activeCell="X8" activeCellId="0" sqref="X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6" width="14.14"/>
    <col collapsed="false" customWidth="true" hidden="false" outlineLevel="0" max="2" min="2" style="66" width="14.56"/>
    <col collapsed="false" customWidth="true" hidden="false" outlineLevel="0" max="4" min="3" style="66" width="16.42"/>
    <col collapsed="false" customWidth="true" hidden="false" outlineLevel="0" max="5" min="5" style="66" width="14.85"/>
    <col collapsed="false" customWidth="true" hidden="false" outlineLevel="0" max="6" min="6" style="66" width="13.85"/>
    <col collapsed="false" customWidth="true" hidden="false" outlineLevel="0" max="7" min="7" style="66" width="10.71"/>
    <col collapsed="false" customWidth="true" hidden="false" outlineLevel="0" max="8" min="8" style="66" width="18.14"/>
    <col collapsed="false" customWidth="true" hidden="false" outlineLevel="0" max="9" min="9" style="66" width="22.56"/>
    <col collapsed="false" customWidth="true" hidden="false" outlineLevel="0" max="10" min="10" style="66" width="25.85"/>
    <col collapsed="false" customWidth="true" hidden="false" outlineLevel="0" max="12" min="11" style="67" width="19.28"/>
    <col collapsed="false" customWidth="true" hidden="false" outlineLevel="0" max="13" min="13" style="67" width="24.99"/>
    <col collapsed="false" customWidth="true" hidden="false" outlineLevel="0" max="15" min="14" style="67" width="19.28"/>
    <col collapsed="false" customWidth="true" hidden="false" outlineLevel="0" max="16" min="16" style="67" width="3.14"/>
    <col collapsed="false" customWidth="true" hidden="false" outlineLevel="0" max="17" min="17" style="67" width="16.7"/>
    <col collapsed="false" customWidth="true" hidden="false" outlineLevel="0" max="18" min="18" style="67" width="18.56"/>
    <col collapsed="false" customWidth="true" hidden="false" outlineLevel="0" max="19" min="19" style="67" width="16.7"/>
    <col collapsed="false" customWidth="true" hidden="false" outlineLevel="0" max="20" min="20" style="66" width="3.14"/>
    <col collapsed="false" customWidth="true" hidden="false" outlineLevel="0" max="27" min="21" style="67" width="10.71"/>
    <col collapsed="false" customWidth="true" hidden="false" outlineLevel="0" max="28" min="28" style="66" width="4.28"/>
    <col collapsed="false" customWidth="true" hidden="false" outlineLevel="0" max="29" min="29" style="66" width="18.41"/>
    <col collapsed="false" customWidth="true" hidden="false" outlineLevel="0" max="30" min="30" style="66" width="6.28"/>
    <col collapsed="false" customWidth="false" hidden="false" outlineLevel="0" max="257" min="31" style="66" width="9.14"/>
  </cols>
  <sheetData>
    <row r="1" customFormat="false" ht="13.5" hidden="false" customHeight="false" outlineLevel="0" collapsed="false">
      <c r="A1" s="68"/>
      <c r="B1" s="69" t="s">
        <v>92</v>
      </c>
      <c r="C1" s="70"/>
      <c r="D1" s="70"/>
      <c r="E1" s="0"/>
      <c r="H1" s="71" t="s">
        <v>93</v>
      </c>
      <c r="I1" s="67" t="s">
        <v>94</v>
      </c>
      <c r="J1" s="67" t="s">
        <v>95</v>
      </c>
      <c r="K1" s="72" t="s">
        <v>96</v>
      </c>
      <c r="L1" s="73" t="s">
        <v>97</v>
      </c>
      <c r="M1" s="74"/>
    </row>
    <row r="2" customFormat="false" ht="12.75" hidden="false" customHeight="false" outlineLevel="0" collapsed="false">
      <c r="A2" s="71" t="s">
        <v>13</v>
      </c>
      <c r="B2" s="75" t="s">
        <v>98</v>
      </c>
      <c r="C2" s="75" t="s">
        <v>99</v>
      </c>
      <c r="D2" s="76" t="s">
        <v>20</v>
      </c>
      <c r="E2" s="75" t="s">
        <v>37</v>
      </c>
      <c r="F2" s="75" t="s">
        <v>100</v>
      </c>
      <c r="G2" s="75" t="s">
        <v>101</v>
      </c>
      <c r="H2" s="77" t="s">
        <v>102</v>
      </c>
      <c r="I2" s="75" t="s">
        <v>103</v>
      </c>
      <c r="J2" s="75" t="s">
        <v>103</v>
      </c>
      <c r="K2" s="78" t="s">
        <v>104</v>
      </c>
      <c r="L2" s="79"/>
    </row>
    <row r="3" customFormat="false" ht="13.5" hidden="false" customHeight="false" outlineLevel="0" collapsed="false">
      <c r="A3" s="80" t="n">
        <f aca="false">'Inputs-Summary'!B3</f>
        <v>37257</v>
      </c>
      <c r="B3" s="81" t="n">
        <f aca="false">'Inputs-Summary'!B4</f>
        <v>37287</v>
      </c>
      <c r="C3" s="82" t="n">
        <f aca="true">IF(WEEKDAY(TODAY())=2,TODAY()-3,TODAY()-1)+1</f>
        <v>45926</v>
      </c>
      <c r="D3" s="82" t="n">
        <f aca="false">'Inputs-Summary'!B5</f>
        <v>37061</v>
      </c>
      <c r="E3" s="83" t="str">
        <f aca="false">CONCATENATE(INT(Z8/12)," Y - ",Z8-INT(Z8/12)*12," M")</f>
        <v>0 Y - 1 M</v>
      </c>
      <c r="F3" s="84" t="n">
        <f aca="false">'Inputs-Summary'!B10</f>
        <v>2</v>
      </c>
      <c r="G3" s="84" t="n">
        <f aca="false">'Inputs-Summary'!B9</f>
        <v>2</v>
      </c>
      <c r="H3" s="85" t="n">
        <f aca="false">'Inputs-Summary'!B8</f>
        <v>1</v>
      </c>
      <c r="I3" s="84" t="str">
        <f aca="false">'Inputs-Summary'!B12</f>
        <v>IF-HEHUB</v>
      </c>
      <c r="J3" s="84" t="str">
        <f aca="false">I3</f>
        <v>IF-HEHUB</v>
      </c>
      <c r="K3" s="86" t="n">
        <v>0</v>
      </c>
      <c r="L3" s="87"/>
    </row>
    <row r="4" customFormat="false" ht="12.75" hidden="false" customHeight="false" outlineLevel="0" collapsed="false">
      <c r="A4" s="88"/>
      <c r="B4" s="88"/>
      <c r="C4" s="89"/>
      <c r="D4" s="89" t="s">
        <v>105</v>
      </c>
      <c r="E4" s="89" t="s">
        <v>106</v>
      </c>
      <c r="F4" s="89" t="s">
        <v>107</v>
      </c>
      <c r="G4" s="90" t="s">
        <v>108</v>
      </c>
      <c r="H4" s="91"/>
      <c r="I4" s="91"/>
      <c r="J4" s="90" t="str">
        <f aca="false">CONCATENATE(I3,"-","D")</f>
        <v>IF-HEHUB-D</v>
      </c>
      <c r="K4" s="91" t="str">
        <f aca="false">I3</f>
        <v>IF-HEHUB</v>
      </c>
      <c r="L4" s="91" t="str">
        <f aca="false">I3</f>
        <v>IF-HEHUB</v>
      </c>
      <c r="M4" s="90" t="str">
        <f aca="false">CONCATENATE(J3,"-","I")</f>
        <v>IF-HEHUB-I</v>
      </c>
      <c r="N4" s="91" t="str">
        <f aca="false">J3</f>
        <v>IF-HEHUB</v>
      </c>
      <c r="O4" s="91" t="str">
        <f aca="false">J3</f>
        <v>IF-HEHUB</v>
      </c>
      <c r="Q4" s="91" t="str">
        <f aca="false">K4</f>
        <v>IF-HEHUB</v>
      </c>
      <c r="R4" s="91" t="str">
        <f aca="false">J4</f>
        <v>IF-HEHUB-D</v>
      </c>
      <c r="S4" s="91" t="str">
        <f aca="false">K4</f>
        <v>IF-HEHUB</v>
      </c>
      <c r="U4" s="92"/>
      <c r="V4" s="92"/>
      <c r="W4" s="92" t="s">
        <v>109</v>
      </c>
      <c r="X4" s="90" t="s">
        <v>110</v>
      </c>
      <c r="Y4" s="92"/>
      <c r="Z4" s="92"/>
      <c r="AA4" s="92"/>
      <c r="AC4" s="93"/>
      <c r="AD4" s="94"/>
    </row>
    <row r="5" customFormat="false" ht="12.75" hidden="false" customHeight="false" outlineLevel="0" collapsed="false">
      <c r="A5" s="89" t="s">
        <v>64</v>
      </c>
      <c r="B5" s="89" t="str">
        <f aca="false">IF($H$3=1,"Daily","Monthly")</f>
        <v>Daily</v>
      </c>
      <c r="C5" s="89"/>
      <c r="D5" s="89" t="str">
        <f aca="false">IF($H$3=1,"Daily","Monthly")</f>
        <v>Daily</v>
      </c>
      <c r="E5" s="89" t="s">
        <v>68</v>
      </c>
      <c r="F5" s="89" t="s">
        <v>68</v>
      </c>
      <c r="G5" s="89" t="s">
        <v>61</v>
      </c>
      <c r="H5" s="89" t="s">
        <v>61</v>
      </c>
      <c r="I5" s="89" t="s">
        <v>61</v>
      </c>
      <c r="J5" s="89" t="s">
        <v>94</v>
      </c>
      <c r="K5" s="89" t="s">
        <v>94</v>
      </c>
      <c r="L5" s="89" t="s">
        <v>94</v>
      </c>
      <c r="M5" s="89" t="s">
        <v>95</v>
      </c>
      <c r="N5" s="89" t="s">
        <v>95</v>
      </c>
      <c r="O5" s="89" t="s">
        <v>95</v>
      </c>
      <c r="Q5" s="89" t="s">
        <v>111</v>
      </c>
      <c r="R5" s="89" t="s">
        <v>111</v>
      </c>
      <c r="S5" s="89" t="s">
        <v>111</v>
      </c>
      <c r="U5" s="95" t="s">
        <v>112</v>
      </c>
      <c r="V5" s="95" t="s">
        <v>51</v>
      </c>
      <c r="W5" s="95" t="s">
        <v>51</v>
      </c>
      <c r="X5" s="96" t="s">
        <v>113</v>
      </c>
      <c r="Y5" s="95" t="s">
        <v>51</v>
      </c>
      <c r="Z5" s="95" t="s">
        <v>114</v>
      </c>
      <c r="AA5" s="95" t="s">
        <v>114</v>
      </c>
      <c r="AC5" s="97" t="s">
        <v>105</v>
      </c>
      <c r="AD5" s="94"/>
    </row>
    <row r="6" customFormat="false" ht="12.75" hidden="false" customHeight="false" outlineLevel="0" collapsed="false">
      <c r="A6" s="98" t="s">
        <v>71</v>
      </c>
      <c r="B6" s="98" t="s">
        <v>115</v>
      </c>
      <c r="C6" s="98"/>
      <c r="D6" s="98" t="s">
        <v>115</v>
      </c>
      <c r="E6" s="98" t="s">
        <v>116</v>
      </c>
      <c r="F6" s="98" t="s">
        <v>116</v>
      </c>
      <c r="G6" s="98" t="s">
        <v>117</v>
      </c>
      <c r="H6" s="98" t="str">
        <f aca="false">CHOOSE(G3,"Bid","Offer")</f>
        <v>Offer</v>
      </c>
      <c r="I6" s="98" t="s">
        <v>118</v>
      </c>
      <c r="J6" s="98" t="s">
        <v>117</v>
      </c>
      <c r="K6" s="98" t="str">
        <f aca="false">H6</f>
        <v>Offer</v>
      </c>
      <c r="L6" s="98" t="s">
        <v>118</v>
      </c>
      <c r="M6" s="98" t="s">
        <v>117</v>
      </c>
      <c r="N6" s="98" t="str">
        <f aca="false">K6</f>
        <v>Offer</v>
      </c>
      <c r="O6" s="98" t="s">
        <v>118</v>
      </c>
      <c r="Q6" s="98" t="s">
        <v>117</v>
      </c>
      <c r="R6" s="98" t="str">
        <f aca="false">K6</f>
        <v>Offer</v>
      </c>
      <c r="S6" s="98" t="s">
        <v>118</v>
      </c>
      <c r="U6" s="99" t="s">
        <v>72</v>
      </c>
      <c r="V6" s="99" t="s">
        <v>12</v>
      </c>
      <c r="W6" s="99" t="s">
        <v>72</v>
      </c>
      <c r="X6" s="100" t="s">
        <v>119</v>
      </c>
      <c r="Y6" s="99" t="s">
        <v>52</v>
      </c>
      <c r="Z6" s="99" t="s">
        <v>120</v>
      </c>
      <c r="AA6" s="99" t="s">
        <v>72</v>
      </c>
      <c r="AC6" s="97" t="s">
        <v>121</v>
      </c>
      <c r="AD6" s="94"/>
    </row>
    <row r="7" customFormat="false" ht="13.5" hidden="false" customHeight="false" outlineLevel="0" collapsed="false">
      <c r="A7" s="101"/>
      <c r="B7" s="101"/>
      <c r="C7" s="101"/>
      <c r="D7" s="101"/>
      <c r="H7" s="102"/>
      <c r="K7" s="102"/>
      <c r="N7" s="102"/>
      <c r="W7" s="103"/>
      <c r="AC7" s="104"/>
    </row>
    <row r="8" customFormat="false" ht="13.5" hidden="false" customHeight="false" outlineLevel="0" collapsed="false">
      <c r="A8" s="105" t="s">
        <v>122</v>
      </c>
      <c r="B8" s="106"/>
      <c r="C8" s="106"/>
      <c r="D8" s="106" t="n">
        <f aca="false">SUM(D10:D370)</f>
        <v>1086176597.98663</v>
      </c>
      <c r="E8" s="106" t="n">
        <f aca="false">SUM(E10:E370)</f>
        <v>93531873.7155152</v>
      </c>
      <c r="F8" s="106" t="n">
        <f aca="false">SUM(F10:F370)</f>
        <v>1.82183665451959E+022</v>
      </c>
      <c r="G8" s="107" t="n">
        <f aca="false">SUMPRODUCT($F10:$F370,G10:G370)/SUM($F10:$F370)</f>
        <v>3</v>
      </c>
      <c r="H8" s="107" t="n">
        <f aca="false">SUMPRODUCT($F10:$F370,H10:H370)/SUM($F10:$F370)</f>
        <v>3</v>
      </c>
      <c r="I8" s="107" t="n">
        <f aca="false">SUMPRODUCT($F10:$F370,I10:I370)/SUM($F10:$F370)</f>
        <v>4.4682673622397</v>
      </c>
      <c r="J8" s="107" t="n">
        <f aca="false">SUMPRODUCT($F10:$F370,J10:J370)/SUM($F10:$F370)</f>
        <v>5</v>
      </c>
      <c r="K8" s="107" t="n">
        <f aca="false">SUMPRODUCT($F10:$F370,K10:K370)/SUM($F10:$F370)</f>
        <v>5</v>
      </c>
      <c r="L8" s="107" t="n">
        <f aca="false">SUMPRODUCT($F10:$F370,L10:L370)/SUM($F10:$F370)</f>
        <v>5</v>
      </c>
      <c r="M8" s="107" t="n">
        <f aca="false">SUMPRODUCT($F10:$F370,M10:M370)/SUM($F10:$F370)</f>
        <v>5</v>
      </c>
      <c r="N8" s="107" t="n">
        <f aca="false">SUMPRODUCT($F10:$F370,N10:N370)/SUM($F10:$F370)</f>
        <v>5</v>
      </c>
      <c r="O8" s="107" t="n">
        <f aca="false">SUMPRODUCT($F10:$F370,O10:O370)/SUM($F10:$F370)</f>
        <v>5</v>
      </c>
      <c r="P8" s="107"/>
      <c r="Q8" s="107" t="n">
        <f aca="false">SUMPRODUCT($F10:$F370,Q10:Q370)/SUM($F10:$F370)</f>
        <v>8</v>
      </c>
      <c r="R8" s="107" t="n">
        <f aca="false">SUMPRODUCT($F10:$F370,R10:R370)/SUM($F10:$F370)</f>
        <v>8</v>
      </c>
      <c r="S8" s="107" t="n">
        <f aca="false">SUMPRODUCT($F10:$F370,S10:S370)/SUM($F10:$F370)</f>
        <v>9.4682673622397</v>
      </c>
      <c r="X8" s="108"/>
      <c r="Z8" s="109" t="n">
        <f aca="false">SUM(Z10:Z370)</f>
        <v>1</v>
      </c>
      <c r="AA8" s="109" t="n">
        <f aca="false">SUM(AA10:AA370)</f>
        <v>31</v>
      </c>
      <c r="AC8" s="110" t="n">
        <f aca="false">SUM(AC10:AC370)</f>
        <v>-2.67494329916308E+022</v>
      </c>
      <c r="AD8" s="111"/>
    </row>
    <row r="9" customFormat="false" ht="12.75" hidden="false" customHeight="false" outlineLevel="0" collapsed="false">
      <c r="B9" s="112"/>
      <c r="C9" s="112"/>
      <c r="D9" s="112"/>
      <c r="E9" s="112"/>
      <c r="F9" s="112"/>
      <c r="H9" s="113"/>
      <c r="I9" s="113"/>
      <c r="J9" s="113"/>
      <c r="K9" s="114"/>
      <c r="L9" s="114"/>
      <c r="M9" s="114"/>
      <c r="N9" s="114"/>
      <c r="O9" s="114"/>
      <c r="Q9" s="114"/>
      <c r="R9" s="114"/>
      <c r="S9" s="114"/>
      <c r="AC9" s="104"/>
    </row>
    <row r="10" customFormat="false" ht="12.75" hidden="false" customHeight="false" outlineLevel="0" collapsed="false">
      <c r="A10" s="115" t="n">
        <f aca="false">A3</f>
        <v>37257</v>
      </c>
      <c r="B10" s="116" t="n">
        <f aca="false">'Inputs-Summary'!$B$7</f>
        <v>3017157.21662952</v>
      </c>
      <c r="C10" s="57"/>
      <c r="D10" s="117" t="n">
        <f aca="false">B10+C10</f>
        <v>3017157.21662952</v>
      </c>
      <c r="E10" s="106" t="n">
        <f aca="false">IF(Z10=0,0,IF(AND(Z10=1,$H$3=1),D10*U10,IF($H$3=2,D10,"N/A")))</f>
        <v>93531873.7155152</v>
      </c>
      <c r="F10" s="106" t="n">
        <f aca="false">E10*Y10</f>
        <v>1.82183665451959E+022</v>
      </c>
      <c r="G10" s="118" t="n">
        <f aca="false">VLOOKUP($A10,Table,MATCH(G$4,Curves,0))</f>
        <v>3</v>
      </c>
      <c r="H10" s="119" t="n">
        <f aca="false">G10+$H$7</f>
        <v>3</v>
      </c>
      <c r="I10" s="118" t="n">
        <f aca="false">'Inputs-Summary'!B23</f>
        <v>4.4682673622397</v>
      </c>
      <c r="J10" s="118" t="n">
        <f aca="false">VLOOKUP($A10,Table,MATCH(J$4,Curves,0))</f>
        <v>5</v>
      </c>
      <c r="K10" s="119" t="n">
        <f aca="false">J10+$K$7</f>
        <v>5</v>
      </c>
      <c r="L10" s="120" t="n">
        <f aca="false">K10</f>
        <v>5</v>
      </c>
      <c r="M10" s="118" t="n">
        <f aca="false">VLOOKUP($A10,Table,MATCH(M$4,Curves,0))</f>
        <v>5</v>
      </c>
      <c r="N10" s="119" t="n">
        <f aca="false">M10+$N$7</f>
        <v>5</v>
      </c>
      <c r="O10" s="120" t="n">
        <f aca="false">N10</f>
        <v>5</v>
      </c>
      <c r="P10" s="109"/>
      <c r="Q10" s="120" t="n">
        <f aca="false">IF($F$3=1,M10+J10+G10,J10+G10)</f>
        <v>8</v>
      </c>
      <c r="R10" s="120" t="n">
        <f aca="false">IF($F$3=1,N10+K10+H10,K10+H10)</f>
        <v>8</v>
      </c>
      <c r="S10" s="120" t="n">
        <f aca="false">IF($F$3=1,O10+L10+I10,L10+I10)</f>
        <v>9.4682673622397</v>
      </c>
      <c r="T10" s="121"/>
      <c r="U10" s="67" t="n">
        <f aca="false">A11-A10</f>
        <v>31</v>
      </c>
      <c r="V10" s="122" t="n">
        <f aca="false">CHOOSE(F$3,A11+24,A10)</f>
        <v>37257</v>
      </c>
      <c r="W10" s="67" t="n">
        <f aca="false">V10-C$3</f>
        <v>-8669</v>
      </c>
      <c r="X10" s="118" t="n">
        <f aca="false">VLOOKUP($A10,Table,MATCH(X$4,Curves,0))</f>
        <v>2</v>
      </c>
      <c r="Y10" s="123" t="n">
        <f aca="false">1/(1+CHOOSE(F$3,(X11+($K$3/10000))/2,(X10+($K$3/10000))/2))^(2*W10/365.25)</f>
        <v>194782439627036</v>
      </c>
      <c r="Z10" s="67" t="n">
        <f aca="false">IF(AND(mthbeg&lt;=A10,mthend&gt;=A10),1,0)</f>
        <v>1</v>
      </c>
      <c r="AA10" s="67" t="n">
        <f aca="false">U10*Z10</f>
        <v>31</v>
      </c>
      <c r="AC10" s="110" t="n">
        <f aca="false">F10*(H10-I10)</f>
        <v>-2.67494329916308E+022</v>
      </c>
      <c r="AD10" s="49"/>
      <c r="AE10" s="124"/>
    </row>
    <row r="11" customFormat="false" ht="12.75" hidden="false" customHeight="false" outlineLevel="0" collapsed="false">
      <c r="A11" s="115" t="n">
        <f aca="false">EDATE(A10,1)</f>
        <v>37288</v>
      </c>
      <c r="B11" s="116" t="n">
        <f aca="false">'Inputs-Summary'!$B$7</f>
        <v>3017157.21662952</v>
      </c>
      <c r="C11" s="57"/>
      <c r="D11" s="117" t="n">
        <f aca="false">B11+C11</f>
        <v>3017157.21662952</v>
      </c>
      <c r="E11" s="106" t="n">
        <f aca="false">IF(Z11=0,0,IF(AND(Z11=1,$H$3=1),D11*U11,IF($H$3=2,D11,"N/A")))</f>
        <v>0</v>
      </c>
      <c r="F11" s="106" t="n">
        <f aca="false">E11*Y11</f>
        <v>0</v>
      </c>
      <c r="G11" s="118" t="n">
        <f aca="false">VLOOKUP($A11,Table,MATCH(G$4,Curves,0))</f>
        <v>3</v>
      </c>
      <c r="H11" s="119" t="n">
        <f aca="false">G11+$H$7</f>
        <v>3</v>
      </c>
      <c r="I11" s="118" t="n">
        <f aca="false">'Inputs-Summary'!$B$16</f>
        <v>1.85</v>
      </c>
      <c r="J11" s="118" t="n">
        <f aca="false">VLOOKUP($A11,Table,MATCH(J$4,Curves,0))</f>
        <v>5</v>
      </c>
      <c r="K11" s="119" t="n">
        <f aca="false">J11+$K$7</f>
        <v>5</v>
      </c>
      <c r="L11" s="120" t="n">
        <f aca="false">K11</f>
        <v>5</v>
      </c>
      <c r="M11" s="118" t="n">
        <f aca="false">VLOOKUP($A11,Table,MATCH(M$4,Curves,0))</f>
        <v>5</v>
      </c>
      <c r="N11" s="119" t="n">
        <f aca="false">M11+$N$7</f>
        <v>5</v>
      </c>
      <c r="O11" s="120" t="n">
        <f aca="false">N11</f>
        <v>5</v>
      </c>
      <c r="P11" s="109"/>
      <c r="Q11" s="120" t="n">
        <f aca="false">IF($F$3=1,M11+J11+G11,J11+G11)</f>
        <v>8</v>
      </c>
      <c r="R11" s="120" t="n">
        <f aca="false">IF($F$3=1,N11+K11+H11,K11+H11)</f>
        <v>8</v>
      </c>
      <c r="S11" s="120" t="n">
        <f aca="false">IF($F$3=1,O11+L11+I11,L11+I11)</f>
        <v>6.85</v>
      </c>
      <c r="T11" s="121"/>
      <c r="U11" s="67" t="n">
        <f aca="false">A12-A11</f>
        <v>28</v>
      </c>
      <c r="V11" s="122" t="n">
        <f aca="false">CHOOSE(F$3,A12+24,A11)</f>
        <v>37288</v>
      </c>
      <c r="W11" s="67" t="n">
        <f aca="false">V11-C$3</f>
        <v>-8638</v>
      </c>
      <c r="X11" s="118" t="n">
        <f aca="false">VLOOKUP($A11,Table,MATCH(X$4,Curves,0))</f>
        <v>2</v>
      </c>
      <c r="Y11" s="123" t="n">
        <f aca="false">1/(1+CHOOSE(F$3,(X12+($K$3/10000))/2,(X11+($K$3/10000))/2))^(2*W11/365.25)</f>
        <v>173161340017364</v>
      </c>
      <c r="Z11" s="67" t="n">
        <f aca="false">IF(AND(mthbeg&lt;=A11,mthend&gt;=A11),1,0)</f>
        <v>0</v>
      </c>
      <c r="AA11" s="67" t="n">
        <f aca="false">U11*Z11</f>
        <v>0</v>
      </c>
      <c r="AC11" s="110" t="n">
        <f aca="false">F11*(H11-I11)</f>
        <v>0</v>
      </c>
      <c r="AD11" s="49"/>
      <c r="AE11" s="124"/>
    </row>
    <row r="12" customFormat="false" ht="12.75" hidden="false" customHeight="false" outlineLevel="0" collapsed="false">
      <c r="A12" s="115" t="n">
        <f aca="false">EDATE(A11,1)</f>
        <v>37316</v>
      </c>
      <c r="B12" s="116" t="n">
        <f aca="false">'Inputs-Summary'!$B$7</f>
        <v>3017157.21662952</v>
      </c>
      <c r="C12" s="57"/>
      <c r="D12" s="117" t="n">
        <f aca="false">B12+C12</f>
        <v>3017157.21662952</v>
      </c>
      <c r="E12" s="106" t="n">
        <f aca="false">IF(Z12=0,0,IF(AND(Z12=1,$H$3=1),D12*U12,IF($H$3=2,D12,"N/A")))</f>
        <v>0</v>
      </c>
      <c r="F12" s="106" t="n">
        <f aca="false">E12*Y12</f>
        <v>0</v>
      </c>
      <c r="G12" s="118" t="n">
        <f aca="false">VLOOKUP($A12,Table,MATCH(G$4,Curves,0))</f>
        <v>3</v>
      </c>
      <c r="H12" s="119" t="n">
        <f aca="false">G12+$H$7</f>
        <v>3</v>
      </c>
      <c r="I12" s="118" t="n">
        <f aca="false">'Inputs-Summary'!$B$16</f>
        <v>1.85</v>
      </c>
      <c r="J12" s="118" t="n">
        <f aca="false">VLOOKUP($A12,Table,MATCH(J$4,Curves,0))</f>
        <v>5</v>
      </c>
      <c r="K12" s="119" t="n">
        <f aca="false">J12+$K$7</f>
        <v>5</v>
      </c>
      <c r="L12" s="120" t="n">
        <f aca="false">K12</f>
        <v>5</v>
      </c>
      <c r="M12" s="118" t="n">
        <f aca="false">VLOOKUP($A12,Table,MATCH(M$4,Curves,0))</f>
        <v>5</v>
      </c>
      <c r="N12" s="119" t="n">
        <f aca="false">M12+$N$7</f>
        <v>5</v>
      </c>
      <c r="O12" s="120" t="n">
        <f aca="false">N12</f>
        <v>5</v>
      </c>
      <c r="P12" s="109"/>
      <c r="Q12" s="120" t="n">
        <f aca="false">IF($F$3=1,M12+J12+G12,J12+G12)</f>
        <v>8</v>
      </c>
      <c r="R12" s="120" t="n">
        <f aca="false">IF($F$3=1,N12+K12+H12,K12+H12)</f>
        <v>8</v>
      </c>
      <c r="S12" s="120" t="n">
        <f aca="false">IF($F$3=1,O12+L12+I12,L12+I12)</f>
        <v>6.85</v>
      </c>
      <c r="T12" s="121"/>
      <c r="U12" s="67" t="n">
        <f aca="false">A13-A12</f>
        <v>31</v>
      </c>
      <c r="V12" s="122" t="n">
        <f aca="false">CHOOSE(F$3,A13+24,A12)</f>
        <v>37316</v>
      </c>
      <c r="W12" s="67" t="n">
        <f aca="false">V12-C$3</f>
        <v>-8610</v>
      </c>
      <c r="X12" s="118" t="n">
        <f aca="false">VLOOKUP($A12,Table,MATCH(X$4,Curves,0))</f>
        <v>2</v>
      </c>
      <c r="Y12" s="123" t="n">
        <f aca="false">1/(1+CHOOSE(F$3,(X13+($K$3/10000))/2,(X12+($K$3/10000))/2))^(2*W12/365.25)</f>
        <v>155703052262763</v>
      </c>
      <c r="Z12" s="67" t="n">
        <f aca="false">IF(AND(mthbeg&lt;=A12,mthend&gt;=A12),1,0)</f>
        <v>0</v>
      </c>
      <c r="AA12" s="67" t="n">
        <f aca="false">U12*Z12</f>
        <v>0</v>
      </c>
      <c r="AC12" s="110" t="n">
        <f aca="false">F12*(H12-I12)</f>
        <v>0</v>
      </c>
      <c r="AD12" s="49"/>
      <c r="AE12" s="124"/>
    </row>
    <row r="13" customFormat="false" ht="12.75" hidden="false" customHeight="false" outlineLevel="0" collapsed="false">
      <c r="A13" s="115" t="n">
        <f aca="false">EDATE(A12,1)</f>
        <v>37347</v>
      </c>
      <c r="B13" s="116" t="n">
        <f aca="false">'Inputs-Summary'!$B$7</f>
        <v>3017157.21662952</v>
      </c>
      <c r="C13" s="57"/>
      <c r="D13" s="117" t="n">
        <f aca="false">B13+C13</f>
        <v>3017157.21662952</v>
      </c>
      <c r="E13" s="106" t="n">
        <f aca="false">IF(Z13=0,0,IF(AND(Z13=1,$H$3=1),D13*U13,IF($H$3=2,D13,"N/A")))</f>
        <v>0</v>
      </c>
      <c r="F13" s="106" t="n">
        <f aca="false">E13*Y13</f>
        <v>0</v>
      </c>
      <c r="G13" s="118" t="n">
        <f aca="false">VLOOKUP($A13,Table,MATCH(G$4,Curves,0))</f>
        <v>3</v>
      </c>
      <c r="H13" s="119" t="n">
        <f aca="false">G13+$H$7</f>
        <v>3</v>
      </c>
      <c r="I13" s="118" t="n">
        <f aca="false">'Inputs-Summary'!$B$16</f>
        <v>1.85</v>
      </c>
      <c r="J13" s="118" t="n">
        <f aca="false">VLOOKUP($A13,Table,MATCH(J$4,Curves,0))</f>
        <v>5</v>
      </c>
      <c r="K13" s="119" t="n">
        <f aca="false">J13+$K$7</f>
        <v>5</v>
      </c>
      <c r="L13" s="120" t="n">
        <f aca="false">K13</f>
        <v>5</v>
      </c>
      <c r="M13" s="118" t="n">
        <f aca="false">VLOOKUP($A13,Table,MATCH(M$4,Curves,0))</f>
        <v>5</v>
      </c>
      <c r="N13" s="119" t="n">
        <f aca="false">M13+$N$7</f>
        <v>5</v>
      </c>
      <c r="O13" s="120" t="n">
        <f aca="false">N13</f>
        <v>5</v>
      </c>
      <c r="P13" s="109"/>
      <c r="Q13" s="120" t="n">
        <f aca="false">IF($F$3=1,M13+J13+G13,J13+G13)</f>
        <v>8</v>
      </c>
      <c r="R13" s="120" t="n">
        <f aca="false">IF($F$3=1,N13+K13+H13,K13+H13)</f>
        <v>8</v>
      </c>
      <c r="S13" s="120" t="n">
        <f aca="false">IF($F$3=1,O13+L13+I13,L13+I13)</f>
        <v>6.85</v>
      </c>
      <c r="T13" s="121"/>
      <c r="U13" s="67" t="n">
        <f aca="false">A14-A13</f>
        <v>30</v>
      </c>
      <c r="V13" s="122" t="n">
        <f aca="false">CHOOSE(F$3,A14+24,A13)</f>
        <v>37347</v>
      </c>
      <c r="W13" s="67" t="n">
        <f aca="false">V13-C$3</f>
        <v>-8579</v>
      </c>
      <c r="X13" s="118" t="n">
        <f aca="false">VLOOKUP($A13,Table,MATCH(X$4,Curves,0))</f>
        <v>2</v>
      </c>
      <c r="Y13" s="123" t="n">
        <f aca="false">1/(1+CHOOSE(F$3,(X14+($K$3/10000))/2,(X13+($K$3/10000))/2))^(2*W13/365.25)</f>
        <v>138419814569728</v>
      </c>
      <c r="Z13" s="67" t="n">
        <f aca="false">IF(AND(mthbeg&lt;=A13,mthend&gt;=A13),1,0)</f>
        <v>0</v>
      </c>
      <c r="AA13" s="67" t="n">
        <f aca="false">U13*Z13</f>
        <v>0</v>
      </c>
      <c r="AC13" s="110" t="n">
        <f aca="false">F13*(H13-I13)</f>
        <v>0</v>
      </c>
      <c r="AD13" s="49"/>
      <c r="AE13" s="124"/>
    </row>
    <row r="14" customFormat="false" ht="12.75" hidden="false" customHeight="false" outlineLevel="0" collapsed="false">
      <c r="A14" s="115" t="n">
        <f aca="false">EDATE(A13,1)</f>
        <v>37377</v>
      </c>
      <c r="B14" s="116" t="n">
        <f aca="false">'Inputs-Summary'!$B$7</f>
        <v>3017157.21662952</v>
      </c>
      <c r="C14" s="57"/>
      <c r="D14" s="117" t="n">
        <f aca="false">B14+C14</f>
        <v>3017157.21662952</v>
      </c>
      <c r="E14" s="106" t="n">
        <f aca="false">IF(Z14=0,0,IF(AND(Z14=1,$H$3=1),D14*U14,IF($H$3=2,D14,"N/A")))</f>
        <v>0</v>
      </c>
      <c r="F14" s="106" t="n">
        <f aca="false">E14*Y14</f>
        <v>0</v>
      </c>
      <c r="G14" s="118" t="n">
        <f aca="false">VLOOKUP($A14,Table,MATCH(G$4,Curves,0))</f>
        <v>3</v>
      </c>
      <c r="H14" s="119" t="n">
        <f aca="false">G14+$H$7</f>
        <v>3</v>
      </c>
      <c r="I14" s="118" t="n">
        <f aca="false">'Inputs-Summary'!$B$16</f>
        <v>1.85</v>
      </c>
      <c r="J14" s="118" t="n">
        <f aca="false">VLOOKUP($A14,Table,MATCH(J$4,Curves,0))</f>
        <v>5</v>
      </c>
      <c r="K14" s="119" t="n">
        <f aca="false">J14+$K$7</f>
        <v>5</v>
      </c>
      <c r="L14" s="120" t="n">
        <f aca="false">K14</f>
        <v>5</v>
      </c>
      <c r="M14" s="118" t="n">
        <f aca="false">VLOOKUP($A14,Table,MATCH(M$4,Curves,0))</f>
        <v>5</v>
      </c>
      <c r="N14" s="119" t="n">
        <f aca="false">M14+$N$7</f>
        <v>5</v>
      </c>
      <c r="O14" s="120" t="n">
        <f aca="false">N14</f>
        <v>5</v>
      </c>
      <c r="P14" s="109"/>
      <c r="Q14" s="120" t="n">
        <f aca="false">IF($F$3=1,M14+J14+G14,J14+G14)</f>
        <v>8</v>
      </c>
      <c r="R14" s="120" t="n">
        <f aca="false">IF($F$3=1,N14+K14+H14,K14+H14)</f>
        <v>8</v>
      </c>
      <c r="S14" s="120" t="n">
        <f aca="false">IF($F$3=1,O14+L14+I14,L14+I14)</f>
        <v>6.85</v>
      </c>
      <c r="T14" s="121"/>
      <c r="U14" s="67" t="n">
        <f aca="false">A15-A14</f>
        <v>31</v>
      </c>
      <c r="V14" s="122" t="n">
        <f aca="false">CHOOSE(F$3,A15+24,A14)</f>
        <v>37377</v>
      </c>
      <c r="W14" s="67" t="n">
        <f aca="false">V14-C$3</f>
        <v>-8549</v>
      </c>
      <c r="X14" s="118" t="n">
        <f aca="false">VLOOKUP($A14,Table,MATCH(X$4,Curves,0))</f>
        <v>2</v>
      </c>
      <c r="Y14" s="123" t="n">
        <f aca="false">1/(1+CHOOSE(F$3,(X15+($K$3/10000))/2,(X14+($K$3/10000))/2))^(2*W14/365.25)</f>
        <v>123522977149772</v>
      </c>
      <c r="Z14" s="67" t="n">
        <f aca="false">IF(AND(mthbeg&lt;=A14,mthend&gt;=A14),1,0)</f>
        <v>0</v>
      </c>
      <c r="AA14" s="67" t="n">
        <f aca="false">U14*Z14</f>
        <v>0</v>
      </c>
      <c r="AC14" s="110" t="n">
        <f aca="false">F14*(H14-I14)</f>
        <v>0</v>
      </c>
      <c r="AD14" s="49"/>
      <c r="AE14" s="124"/>
    </row>
    <row r="15" customFormat="false" ht="12.75" hidden="false" customHeight="false" outlineLevel="0" collapsed="false">
      <c r="A15" s="115" t="n">
        <f aca="false">EDATE(A14,1)</f>
        <v>37408</v>
      </c>
      <c r="B15" s="116" t="n">
        <f aca="false">'Inputs-Summary'!$B$7</f>
        <v>3017157.21662952</v>
      </c>
      <c r="C15" s="57"/>
      <c r="D15" s="117" t="n">
        <f aca="false">B15+C15</f>
        <v>3017157.21662952</v>
      </c>
      <c r="E15" s="106" t="n">
        <f aca="false">IF(Z15=0,0,IF(AND(Z15=1,$H$3=1),D15*U15,IF($H$3=2,D15,"N/A")))</f>
        <v>0</v>
      </c>
      <c r="F15" s="106" t="n">
        <f aca="false">E15*Y15</f>
        <v>0</v>
      </c>
      <c r="G15" s="118" t="n">
        <f aca="false">VLOOKUP($A15,Table,MATCH(G$4,Curves,0))</f>
        <v>3</v>
      </c>
      <c r="H15" s="119" t="n">
        <f aca="false">G15+$H$7</f>
        <v>3</v>
      </c>
      <c r="I15" s="118" t="n">
        <f aca="false">'Inputs-Summary'!$B$16</f>
        <v>1.85</v>
      </c>
      <c r="J15" s="118" t="n">
        <f aca="false">VLOOKUP($A15,Table,MATCH(J$4,Curves,0))</f>
        <v>5</v>
      </c>
      <c r="K15" s="119" t="n">
        <f aca="false">J15+$K$7</f>
        <v>5</v>
      </c>
      <c r="L15" s="120" t="n">
        <f aca="false">K15</f>
        <v>5</v>
      </c>
      <c r="M15" s="118" t="n">
        <f aca="false">VLOOKUP($A15,Table,MATCH(M$4,Curves,0))</f>
        <v>5</v>
      </c>
      <c r="N15" s="119" t="n">
        <f aca="false">M15+$N$7</f>
        <v>5</v>
      </c>
      <c r="O15" s="120" t="n">
        <f aca="false">N15</f>
        <v>5</v>
      </c>
      <c r="P15" s="109"/>
      <c r="Q15" s="120" t="n">
        <f aca="false">IF($F$3=1,M15+J15+G15,J15+G15)</f>
        <v>8</v>
      </c>
      <c r="R15" s="120" t="n">
        <f aca="false">IF($F$3=1,N15+K15+H15,K15+H15)</f>
        <v>8</v>
      </c>
      <c r="S15" s="120" t="n">
        <f aca="false">IF($F$3=1,O15+L15+I15,L15+I15)</f>
        <v>6.85</v>
      </c>
      <c r="T15" s="121"/>
      <c r="U15" s="67" t="n">
        <f aca="false">A16-A15</f>
        <v>30</v>
      </c>
      <c r="V15" s="122" t="n">
        <f aca="false">CHOOSE(F$3,A16+24,A15)</f>
        <v>37408</v>
      </c>
      <c r="W15" s="67" t="n">
        <f aca="false">V15-C$3</f>
        <v>-8518</v>
      </c>
      <c r="X15" s="118" t="n">
        <f aca="false">VLOOKUP($A15,Table,MATCH(X$4,Curves,0))</f>
        <v>2</v>
      </c>
      <c r="Y15" s="123" t="n">
        <f aca="false">1/(1+CHOOSE(F$3,(X16+($K$3/10000))/2,(X15+($K$3/10000))/2))^(2*W15/365.25)</f>
        <v>109811768900444</v>
      </c>
      <c r="Z15" s="67" t="n">
        <f aca="false">IF(AND(mthbeg&lt;=A15,mthend&gt;=A15),1,0)</f>
        <v>0</v>
      </c>
      <c r="AA15" s="67" t="n">
        <f aca="false">U15*Z15</f>
        <v>0</v>
      </c>
      <c r="AC15" s="110" t="n">
        <f aca="false">F15*(H15-I15)</f>
        <v>0</v>
      </c>
      <c r="AD15" s="49"/>
      <c r="AE15" s="124"/>
    </row>
    <row r="16" customFormat="false" ht="12.75" hidden="false" customHeight="false" outlineLevel="0" collapsed="false">
      <c r="A16" s="115" t="n">
        <f aca="false">EDATE(A15,1)</f>
        <v>37438</v>
      </c>
      <c r="B16" s="116" t="n">
        <f aca="false">'Inputs-Summary'!$B$7</f>
        <v>3017157.21662952</v>
      </c>
      <c r="C16" s="57"/>
      <c r="D16" s="117" t="n">
        <f aca="false">B16+C16</f>
        <v>3017157.21662952</v>
      </c>
      <c r="E16" s="106" t="n">
        <f aca="false">IF(Z16=0,0,IF(AND(Z16=1,$H$3=1),D16*U16,IF($H$3=2,D16,"N/A")))</f>
        <v>0</v>
      </c>
      <c r="F16" s="106" t="n">
        <f aca="false">E16*Y16</f>
        <v>0</v>
      </c>
      <c r="G16" s="118" t="n">
        <f aca="false">VLOOKUP($A16,Table,MATCH(G$4,Curves,0))</f>
        <v>3</v>
      </c>
      <c r="H16" s="119" t="n">
        <f aca="false">G16+$H$7</f>
        <v>3</v>
      </c>
      <c r="I16" s="118" t="n">
        <f aca="false">'Inputs-Summary'!$B$16</f>
        <v>1.85</v>
      </c>
      <c r="J16" s="118" t="n">
        <f aca="false">VLOOKUP($A16,Table,MATCH(J$4,Curves,0))</f>
        <v>5</v>
      </c>
      <c r="K16" s="119" t="n">
        <f aca="false">J16+$K$7</f>
        <v>5</v>
      </c>
      <c r="L16" s="120" t="n">
        <f aca="false">K16</f>
        <v>5</v>
      </c>
      <c r="M16" s="118" t="n">
        <f aca="false">VLOOKUP($A16,Table,MATCH(M$4,Curves,0))</f>
        <v>5</v>
      </c>
      <c r="N16" s="119" t="n">
        <f aca="false">M16+$N$7</f>
        <v>5</v>
      </c>
      <c r="O16" s="120" t="n">
        <f aca="false">N16</f>
        <v>5</v>
      </c>
      <c r="P16" s="109"/>
      <c r="Q16" s="120" t="n">
        <f aca="false">IF($F$3=1,M16+J16+G16,J16+G16)</f>
        <v>8</v>
      </c>
      <c r="R16" s="120" t="n">
        <f aca="false">IF($F$3=1,N16+K16+H16,K16+H16)</f>
        <v>8</v>
      </c>
      <c r="S16" s="120" t="n">
        <f aca="false">IF($F$3=1,O16+L16+I16,L16+I16)</f>
        <v>6.85</v>
      </c>
      <c r="T16" s="121"/>
      <c r="U16" s="67" t="n">
        <f aca="false">A17-A16</f>
        <v>31</v>
      </c>
      <c r="V16" s="122" t="n">
        <f aca="false">CHOOSE(F$3,A17+24,A16)</f>
        <v>37438</v>
      </c>
      <c r="W16" s="67" t="n">
        <f aca="false">V16-C$3</f>
        <v>-8488</v>
      </c>
      <c r="X16" s="118" t="n">
        <f aca="false">VLOOKUP($A16,Table,MATCH(X$4,Curves,0))</f>
        <v>2</v>
      </c>
      <c r="Y16" s="123" t="n">
        <f aca="false">1/(1+CHOOSE(F$3,(X17+($K$3/10000))/2,(X16+($K$3/10000))/2))^(2*W16/365.25)</f>
        <v>97993749398014</v>
      </c>
      <c r="Z16" s="67" t="n">
        <f aca="false">IF(AND(mthbeg&lt;=A16,mthend&gt;=A16),1,0)</f>
        <v>0</v>
      </c>
      <c r="AA16" s="67" t="n">
        <f aca="false">U16*Z16</f>
        <v>0</v>
      </c>
      <c r="AC16" s="110" t="n">
        <f aca="false">F16*(H16-I16)</f>
        <v>0</v>
      </c>
      <c r="AD16" s="49"/>
      <c r="AE16" s="124"/>
    </row>
    <row r="17" customFormat="false" ht="12.75" hidden="false" customHeight="false" outlineLevel="0" collapsed="false">
      <c r="A17" s="115" t="n">
        <f aca="false">EDATE(A16,1)</f>
        <v>37469</v>
      </c>
      <c r="B17" s="116" t="n">
        <f aca="false">'Inputs-Summary'!$B$7</f>
        <v>3017157.21662952</v>
      </c>
      <c r="C17" s="57"/>
      <c r="D17" s="117" t="n">
        <f aca="false">B17+C17</f>
        <v>3017157.21662952</v>
      </c>
      <c r="E17" s="106" t="n">
        <f aca="false">IF(Z17=0,0,IF(AND(Z17=1,$H$3=1),D17*U17,IF($H$3=2,D17,"N/A")))</f>
        <v>0</v>
      </c>
      <c r="F17" s="106" t="n">
        <f aca="false">E17*Y17</f>
        <v>0</v>
      </c>
      <c r="G17" s="118" t="n">
        <f aca="false">VLOOKUP($A17,Table,MATCH(G$4,Curves,0))</f>
        <v>3</v>
      </c>
      <c r="H17" s="119" t="n">
        <f aca="false">G17+$H$7</f>
        <v>3</v>
      </c>
      <c r="I17" s="118" t="n">
        <f aca="false">'Inputs-Summary'!$B$16</f>
        <v>1.85</v>
      </c>
      <c r="J17" s="118" t="n">
        <f aca="false">VLOOKUP($A17,Table,MATCH(J$4,Curves,0))</f>
        <v>5</v>
      </c>
      <c r="K17" s="119" t="n">
        <f aca="false">J17+$K$7</f>
        <v>5</v>
      </c>
      <c r="L17" s="120" t="n">
        <f aca="false">K17</f>
        <v>5</v>
      </c>
      <c r="M17" s="118" t="n">
        <f aca="false">VLOOKUP($A17,Table,MATCH(M$4,Curves,0))</f>
        <v>5</v>
      </c>
      <c r="N17" s="119" t="n">
        <f aca="false">M17+$N$7</f>
        <v>5</v>
      </c>
      <c r="O17" s="120" t="n">
        <f aca="false">N17</f>
        <v>5</v>
      </c>
      <c r="P17" s="109"/>
      <c r="Q17" s="120" t="n">
        <f aca="false">IF($F$3=1,M17+J17+G17,J17+G17)</f>
        <v>8</v>
      </c>
      <c r="R17" s="120" t="n">
        <f aca="false">IF($F$3=1,N17+K17+H17,K17+H17)</f>
        <v>8</v>
      </c>
      <c r="S17" s="120" t="n">
        <f aca="false">IF($F$3=1,O17+L17+I17,L17+I17)</f>
        <v>6.85</v>
      </c>
      <c r="T17" s="121"/>
      <c r="U17" s="67" t="n">
        <f aca="false">A18-A17</f>
        <v>31</v>
      </c>
      <c r="V17" s="122" t="n">
        <f aca="false">CHOOSE(F$3,A18+24,A17)</f>
        <v>37469</v>
      </c>
      <c r="W17" s="67" t="n">
        <f aca="false">V17-C$3</f>
        <v>-8457</v>
      </c>
      <c r="X17" s="118" t="n">
        <f aca="false">VLOOKUP($A17,Table,MATCH(X$4,Curves,0))</f>
        <v>2</v>
      </c>
      <c r="Y17" s="123" t="n">
        <f aca="false">1/(1+CHOOSE(F$3,(X18+($K$3/10000))/2,(X17+($K$3/10000))/2))^(2*W17/365.25)</f>
        <v>87116318039639.8</v>
      </c>
      <c r="Z17" s="67" t="n">
        <f aca="false">IF(AND(mthbeg&lt;=A17,mthend&gt;=A17),1,0)</f>
        <v>0</v>
      </c>
      <c r="AA17" s="67" t="n">
        <f aca="false">U17*Z17</f>
        <v>0</v>
      </c>
      <c r="AC17" s="110" t="n">
        <f aca="false">F17*(H17-I17)</f>
        <v>0</v>
      </c>
      <c r="AD17" s="49"/>
      <c r="AE17" s="124"/>
    </row>
    <row r="18" customFormat="false" ht="12.75" hidden="false" customHeight="false" outlineLevel="0" collapsed="false">
      <c r="A18" s="115" t="n">
        <f aca="false">EDATE(A17,1)</f>
        <v>37500</v>
      </c>
      <c r="B18" s="116" t="n">
        <f aca="false">'Inputs-Summary'!$B$7</f>
        <v>3017157.21662952</v>
      </c>
      <c r="C18" s="57"/>
      <c r="D18" s="117" t="n">
        <f aca="false">B18+C18</f>
        <v>3017157.21662952</v>
      </c>
      <c r="E18" s="106" t="n">
        <f aca="false">IF(Z18=0,0,IF(AND(Z18=1,$H$3=1),D18*U18,IF($H$3=2,D18,"N/A")))</f>
        <v>0</v>
      </c>
      <c r="F18" s="106" t="n">
        <f aca="false">E18*Y18</f>
        <v>0</v>
      </c>
      <c r="G18" s="118" t="n">
        <f aca="false">VLOOKUP($A18,Table,MATCH(G$4,Curves,0))</f>
        <v>3</v>
      </c>
      <c r="H18" s="119" t="n">
        <f aca="false">G18+$H$7</f>
        <v>3</v>
      </c>
      <c r="I18" s="118" t="n">
        <f aca="false">'Inputs-Summary'!$B$16</f>
        <v>1.85</v>
      </c>
      <c r="J18" s="118" t="n">
        <f aca="false">VLOOKUP($A18,Table,MATCH(J$4,Curves,0))</f>
        <v>5</v>
      </c>
      <c r="K18" s="119" t="n">
        <f aca="false">J18+$K$7</f>
        <v>5</v>
      </c>
      <c r="L18" s="120" t="n">
        <f aca="false">K18</f>
        <v>5</v>
      </c>
      <c r="M18" s="118" t="n">
        <f aca="false">VLOOKUP($A18,Table,MATCH(M$4,Curves,0))</f>
        <v>5</v>
      </c>
      <c r="N18" s="119" t="n">
        <f aca="false">M18+$N$7</f>
        <v>5</v>
      </c>
      <c r="O18" s="120" t="n">
        <f aca="false">N18</f>
        <v>5</v>
      </c>
      <c r="P18" s="109"/>
      <c r="Q18" s="120" t="n">
        <f aca="false">IF($F$3=1,M18+J18+G18,J18+G18)</f>
        <v>8</v>
      </c>
      <c r="R18" s="120" t="n">
        <f aca="false">IF($F$3=1,N18+K18+H18,K18+H18)</f>
        <v>8</v>
      </c>
      <c r="S18" s="120" t="n">
        <f aca="false">IF($F$3=1,O18+L18+I18,L18+I18)</f>
        <v>6.85</v>
      </c>
      <c r="T18" s="121"/>
      <c r="U18" s="67" t="n">
        <f aca="false">A19-A18</f>
        <v>30</v>
      </c>
      <c r="V18" s="122" t="n">
        <f aca="false">CHOOSE(F$3,A19+24,A18)</f>
        <v>37500</v>
      </c>
      <c r="W18" s="67" t="n">
        <f aca="false">V18-C$3</f>
        <v>-8426</v>
      </c>
      <c r="X18" s="118" t="n">
        <f aca="false">VLOOKUP($A18,Table,MATCH(X$4,Curves,0))</f>
        <v>2</v>
      </c>
      <c r="Y18" s="123" t="n">
        <f aca="false">1/(1+CHOOSE(F$3,(X19+($K$3/10000))/2,(X18+($K$3/10000))/2))^(2*W18/365.25)</f>
        <v>77446295456651.7</v>
      </c>
      <c r="Z18" s="67" t="n">
        <f aca="false">IF(AND(mthbeg&lt;=A18,mthend&gt;=A18),1,0)</f>
        <v>0</v>
      </c>
      <c r="AA18" s="67" t="n">
        <f aca="false">U18*Z18</f>
        <v>0</v>
      </c>
      <c r="AC18" s="110" t="n">
        <f aca="false">F18*(H18-I18)</f>
        <v>0</v>
      </c>
      <c r="AD18" s="49"/>
      <c r="AE18" s="124"/>
    </row>
    <row r="19" customFormat="false" ht="12.75" hidden="false" customHeight="false" outlineLevel="0" collapsed="false">
      <c r="A19" s="115" t="n">
        <f aca="false">EDATE(A18,1)</f>
        <v>37530</v>
      </c>
      <c r="B19" s="116" t="n">
        <f aca="false">'Inputs-Summary'!$B$7</f>
        <v>3017157.21662952</v>
      </c>
      <c r="C19" s="57"/>
      <c r="D19" s="117" t="n">
        <f aca="false">B19+C19</f>
        <v>3017157.21662952</v>
      </c>
      <c r="E19" s="106" t="n">
        <f aca="false">IF(Z19=0,0,IF(AND(Z19=1,$H$3=1),D19*U19,IF($H$3=2,D19,"N/A")))</f>
        <v>0</v>
      </c>
      <c r="F19" s="106" t="n">
        <f aca="false">E19*Y19</f>
        <v>0</v>
      </c>
      <c r="G19" s="118" t="n">
        <f aca="false">VLOOKUP($A19,Table,MATCH(G$4,Curves,0))</f>
        <v>3</v>
      </c>
      <c r="H19" s="119" t="n">
        <f aca="false">G19+$H$7</f>
        <v>3</v>
      </c>
      <c r="I19" s="118" t="n">
        <f aca="false">'Inputs-Summary'!$B$16</f>
        <v>1.85</v>
      </c>
      <c r="J19" s="118" t="n">
        <f aca="false">VLOOKUP($A19,Table,MATCH(J$4,Curves,0))</f>
        <v>5</v>
      </c>
      <c r="K19" s="119" t="n">
        <f aca="false">J19+$K$7</f>
        <v>5</v>
      </c>
      <c r="L19" s="120" t="n">
        <f aca="false">K19</f>
        <v>5</v>
      </c>
      <c r="M19" s="118" t="n">
        <f aca="false">VLOOKUP($A19,Table,MATCH(M$4,Curves,0))</f>
        <v>5</v>
      </c>
      <c r="N19" s="119" t="n">
        <f aca="false">M19+$N$7</f>
        <v>5</v>
      </c>
      <c r="O19" s="120" t="n">
        <f aca="false">N19</f>
        <v>5</v>
      </c>
      <c r="P19" s="109"/>
      <c r="Q19" s="120" t="n">
        <f aca="false">IF($F$3=1,M19+J19+G19,J19+G19)</f>
        <v>8</v>
      </c>
      <c r="R19" s="120" t="n">
        <f aca="false">IF($F$3=1,N19+K19+H19,K19+H19)</f>
        <v>8</v>
      </c>
      <c r="S19" s="120" t="n">
        <f aca="false">IF($F$3=1,O19+L19+I19,L19+I19)</f>
        <v>6.85</v>
      </c>
      <c r="T19" s="121"/>
      <c r="U19" s="67" t="n">
        <f aca="false">A20-A19</f>
        <v>31</v>
      </c>
      <c r="V19" s="122" t="n">
        <f aca="false">CHOOSE(F$3,A20+24,A19)</f>
        <v>37530</v>
      </c>
      <c r="W19" s="67" t="n">
        <f aca="false">V19-C$3</f>
        <v>-8396</v>
      </c>
      <c r="X19" s="118" t="n">
        <f aca="false">VLOOKUP($A19,Table,MATCH(X$4,Curves,0))</f>
        <v>2</v>
      </c>
      <c r="Y19" s="123" t="n">
        <f aca="false">1/(1+CHOOSE(F$3,(X20+($K$3/10000))/2,(X19+($K$3/10000))/2))^(2*W19/365.25)</f>
        <v>69111470881269.2</v>
      </c>
      <c r="Z19" s="67" t="n">
        <f aca="false">IF(AND(mthbeg&lt;=A19,mthend&gt;=A19),1,0)</f>
        <v>0</v>
      </c>
      <c r="AA19" s="67" t="n">
        <f aca="false">U19*Z19</f>
        <v>0</v>
      </c>
      <c r="AC19" s="110" t="n">
        <f aca="false">F19*(H19-I19)</f>
        <v>0</v>
      </c>
      <c r="AD19" s="49"/>
      <c r="AE19" s="124"/>
    </row>
    <row r="20" customFormat="false" ht="12.75" hidden="false" customHeight="false" outlineLevel="0" collapsed="false">
      <c r="A20" s="115" t="n">
        <f aca="false">EDATE(A19,1)</f>
        <v>37561</v>
      </c>
      <c r="B20" s="116" t="n">
        <f aca="false">'Inputs-Summary'!$B$7</f>
        <v>3017157.21662952</v>
      </c>
      <c r="C20" s="57"/>
      <c r="D20" s="117" t="n">
        <f aca="false">B20+C20</f>
        <v>3017157.21662952</v>
      </c>
      <c r="E20" s="106" t="n">
        <f aca="false">IF(Z20=0,0,IF(AND(Z20=1,$H$3=1),D20*U20,IF($H$3=2,D20,"N/A")))</f>
        <v>0</v>
      </c>
      <c r="F20" s="106" t="n">
        <f aca="false">E20*Y20</f>
        <v>0</v>
      </c>
      <c r="G20" s="118" t="n">
        <f aca="false">VLOOKUP($A20,Table,MATCH(G$4,Curves,0))</f>
        <v>3</v>
      </c>
      <c r="H20" s="119" t="n">
        <f aca="false">G20+$H$7</f>
        <v>3</v>
      </c>
      <c r="I20" s="118" t="n">
        <f aca="false">'Inputs-Summary'!$B$16</f>
        <v>1.85</v>
      </c>
      <c r="J20" s="118" t="n">
        <f aca="false">VLOOKUP($A20,Table,MATCH(J$4,Curves,0))</f>
        <v>5</v>
      </c>
      <c r="K20" s="119" t="n">
        <f aca="false">J20+$K$7</f>
        <v>5</v>
      </c>
      <c r="L20" s="120" t="n">
        <f aca="false">K20</f>
        <v>5</v>
      </c>
      <c r="M20" s="118" t="n">
        <f aca="false">VLOOKUP($A20,Table,MATCH(M$4,Curves,0))</f>
        <v>5</v>
      </c>
      <c r="N20" s="119" t="n">
        <f aca="false">M20+$N$7</f>
        <v>5</v>
      </c>
      <c r="O20" s="120" t="n">
        <f aca="false">N20</f>
        <v>5</v>
      </c>
      <c r="P20" s="109"/>
      <c r="Q20" s="120" t="n">
        <f aca="false">IF($F$3=1,M20+J20+G20,J20+G20)</f>
        <v>8</v>
      </c>
      <c r="R20" s="120" t="n">
        <f aca="false">IF($F$3=1,N20+K20+H20,K20+H20)</f>
        <v>8</v>
      </c>
      <c r="S20" s="120" t="n">
        <f aca="false">IF($F$3=1,O20+L20+I20,L20+I20)</f>
        <v>6.85</v>
      </c>
      <c r="T20" s="121"/>
      <c r="U20" s="67" t="n">
        <f aca="false">A21-A20</f>
        <v>30</v>
      </c>
      <c r="V20" s="122" t="n">
        <f aca="false">CHOOSE(F$3,A21+24,A20)</f>
        <v>37561</v>
      </c>
      <c r="W20" s="67" t="n">
        <f aca="false">V20-C$3</f>
        <v>-8365</v>
      </c>
      <c r="X20" s="118" t="n">
        <f aca="false">VLOOKUP($A20,Table,MATCH(X$4,Curves,0))</f>
        <v>2</v>
      </c>
      <c r="Y20" s="123" t="n">
        <f aca="false">1/(1+CHOOSE(F$3,(X21+($K$3/10000))/2,(X20+($K$3/10000))/2))^(2*W20/365.25)</f>
        <v>61440009331880.7</v>
      </c>
      <c r="Z20" s="67" t="n">
        <f aca="false">IF(AND(mthbeg&lt;=A20,mthend&gt;=A20),1,0)</f>
        <v>0</v>
      </c>
      <c r="AA20" s="67" t="n">
        <f aca="false">U20*Z20</f>
        <v>0</v>
      </c>
      <c r="AC20" s="110" t="n">
        <f aca="false">F20*(H20-I20)</f>
        <v>0</v>
      </c>
      <c r="AD20" s="49"/>
      <c r="AE20" s="124"/>
    </row>
    <row r="21" customFormat="false" ht="12.75" hidden="false" customHeight="false" outlineLevel="0" collapsed="false">
      <c r="A21" s="115" t="n">
        <f aca="false">EDATE(A20,1)</f>
        <v>37591</v>
      </c>
      <c r="B21" s="116" t="n">
        <f aca="false">'Inputs-Summary'!$B$7</f>
        <v>3017157.21662952</v>
      </c>
      <c r="C21" s="57"/>
      <c r="D21" s="117" t="n">
        <f aca="false">B21+C21</f>
        <v>3017157.21662952</v>
      </c>
      <c r="E21" s="106" t="n">
        <f aca="false">IF(Z21=0,0,IF(AND(Z21=1,$H$3=1),D21*U21,IF($H$3=2,D21,"N/A")))</f>
        <v>0</v>
      </c>
      <c r="F21" s="106" t="n">
        <f aca="false">E21*Y21</f>
        <v>0</v>
      </c>
      <c r="G21" s="118" t="n">
        <f aca="false">VLOOKUP($A21,Table,MATCH(G$4,Curves,0))</f>
        <v>3</v>
      </c>
      <c r="H21" s="119" t="n">
        <f aca="false">G21+$H$7</f>
        <v>3</v>
      </c>
      <c r="I21" s="118" t="n">
        <f aca="false">'Inputs-Summary'!$B$16</f>
        <v>1.85</v>
      </c>
      <c r="J21" s="118" t="n">
        <f aca="false">VLOOKUP($A21,Table,MATCH(J$4,Curves,0))</f>
        <v>5</v>
      </c>
      <c r="K21" s="119" t="n">
        <f aca="false">J21+$K$7</f>
        <v>5</v>
      </c>
      <c r="L21" s="120" t="n">
        <f aca="false">K21</f>
        <v>5</v>
      </c>
      <c r="M21" s="118" t="n">
        <f aca="false">VLOOKUP($A21,Table,MATCH(M$4,Curves,0))</f>
        <v>5</v>
      </c>
      <c r="N21" s="119" t="n">
        <f aca="false">M21+$N$7</f>
        <v>5</v>
      </c>
      <c r="O21" s="120" t="n">
        <f aca="false">N21</f>
        <v>5</v>
      </c>
      <c r="P21" s="109"/>
      <c r="Q21" s="120" t="n">
        <f aca="false">IF($F$3=1,M21+J21+G21,J21+G21)</f>
        <v>8</v>
      </c>
      <c r="R21" s="120" t="n">
        <f aca="false">IF($F$3=1,N21+K21+H21,K21+H21)</f>
        <v>8</v>
      </c>
      <c r="S21" s="120" t="n">
        <f aca="false">IF($F$3=1,O21+L21+I21,L21+I21)</f>
        <v>6.85</v>
      </c>
      <c r="T21" s="121"/>
      <c r="U21" s="67" t="n">
        <f aca="false">A22-A21</f>
        <v>31</v>
      </c>
      <c r="V21" s="122" t="n">
        <f aca="false">CHOOSE(F$3,A22+24,A21)</f>
        <v>37591</v>
      </c>
      <c r="W21" s="67" t="n">
        <f aca="false">V21-C$3</f>
        <v>-8335</v>
      </c>
      <c r="X21" s="118" t="n">
        <f aca="false">VLOOKUP($A21,Table,MATCH(X$4,Curves,0))</f>
        <v>2</v>
      </c>
      <c r="Y21" s="123" t="n">
        <f aca="false">1/(1+CHOOSE(F$3,(X22+($K$3/10000))/2,(X21+($K$3/10000))/2))^(2*W21/365.25)</f>
        <v>54827792483139.1</v>
      </c>
      <c r="Z21" s="67" t="n">
        <f aca="false">IF(AND(mthbeg&lt;=A21,mthend&gt;=A21),1,0)</f>
        <v>0</v>
      </c>
      <c r="AA21" s="67" t="n">
        <f aca="false">U21*Z21</f>
        <v>0</v>
      </c>
      <c r="AC21" s="110" t="n">
        <f aca="false">F21*(H21-I21)</f>
        <v>0</v>
      </c>
      <c r="AD21" s="49"/>
      <c r="AE21" s="124"/>
    </row>
    <row r="22" customFormat="false" ht="12.75" hidden="false" customHeight="false" outlineLevel="0" collapsed="false">
      <c r="A22" s="115" t="n">
        <f aca="false">EDATE(A21,1)</f>
        <v>37622</v>
      </c>
      <c r="B22" s="116" t="n">
        <f aca="false">'Inputs-Summary'!$B$7</f>
        <v>3017157.21662952</v>
      </c>
      <c r="C22" s="57"/>
      <c r="D22" s="117" t="n">
        <f aca="false">B22+C22</f>
        <v>3017157.21662952</v>
      </c>
      <c r="E22" s="106" t="n">
        <f aca="false">IF(Z22=0,0,IF(AND(Z22=1,$H$3=1),D22*U22,IF($H$3=2,D22,"N/A")))</f>
        <v>0</v>
      </c>
      <c r="F22" s="106" t="n">
        <f aca="false">E22*Y22</f>
        <v>0</v>
      </c>
      <c r="G22" s="118" t="n">
        <f aca="false">VLOOKUP($A22,Table,MATCH(G$4,Curves,0))</f>
        <v>3</v>
      </c>
      <c r="H22" s="119" t="n">
        <f aca="false">G22+$H$7</f>
        <v>3</v>
      </c>
      <c r="I22" s="118" t="n">
        <f aca="false">'Inputs-Summary'!$B$16</f>
        <v>1.85</v>
      </c>
      <c r="J22" s="118" t="n">
        <f aca="false">VLOOKUP($A22,Table,MATCH(J$4,Curves,0))</f>
        <v>5</v>
      </c>
      <c r="K22" s="119" t="n">
        <f aca="false">J22+$K$7</f>
        <v>5</v>
      </c>
      <c r="L22" s="120" t="n">
        <f aca="false">K22</f>
        <v>5</v>
      </c>
      <c r="M22" s="118" t="n">
        <f aca="false">VLOOKUP($A22,Table,MATCH(M$4,Curves,0))</f>
        <v>5</v>
      </c>
      <c r="N22" s="119" t="n">
        <f aca="false">M22+$N$7</f>
        <v>5</v>
      </c>
      <c r="O22" s="120" t="n">
        <f aca="false">N22</f>
        <v>5</v>
      </c>
      <c r="P22" s="109"/>
      <c r="Q22" s="120" t="n">
        <f aca="false">IF($F$3=1,M22+J22+G22,J22+G22)</f>
        <v>8</v>
      </c>
      <c r="R22" s="120" t="n">
        <f aca="false">IF($F$3=1,N22+K22+H22,K22+H22)</f>
        <v>8</v>
      </c>
      <c r="S22" s="120" t="n">
        <f aca="false">IF($F$3=1,O22+L22+I22,L22+I22)</f>
        <v>6.85</v>
      </c>
      <c r="T22" s="121"/>
      <c r="U22" s="67" t="n">
        <f aca="false">A23-A22</f>
        <v>31</v>
      </c>
      <c r="V22" s="122" t="n">
        <f aca="false">CHOOSE(F$3,A23+24,A22)</f>
        <v>37622</v>
      </c>
      <c r="W22" s="67" t="n">
        <f aca="false">V22-C$3</f>
        <v>-8304</v>
      </c>
      <c r="X22" s="118" t="n">
        <f aca="false">VLOOKUP($A22,Table,MATCH(X$4,Curves,0))</f>
        <v>2</v>
      </c>
      <c r="Y22" s="123" t="n">
        <f aca="false">1/(1+CHOOSE(F$3,(X23+($K$3/10000))/2,(X22+($K$3/10000))/2))^(2*W22/365.25)</f>
        <v>48741837481619.2</v>
      </c>
      <c r="Z22" s="67" t="n">
        <f aca="false">IF(AND(mthbeg&lt;=A22,mthend&gt;=A22),1,0)</f>
        <v>0</v>
      </c>
      <c r="AA22" s="67" t="n">
        <f aca="false">U22*Z22</f>
        <v>0</v>
      </c>
      <c r="AC22" s="110" t="n">
        <f aca="false">F22*(H22-I22)</f>
        <v>0</v>
      </c>
      <c r="AD22" s="49"/>
      <c r="AE22" s="124"/>
    </row>
    <row r="23" customFormat="false" ht="12.75" hidden="false" customHeight="false" outlineLevel="0" collapsed="false">
      <c r="A23" s="115" t="n">
        <f aca="false">EDATE(A22,1)</f>
        <v>37653</v>
      </c>
      <c r="B23" s="116" t="n">
        <f aca="false">'Inputs-Summary'!$B$7</f>
        <v>3017157.21662952</v>
      </c>
      <c r="C23" s="57"/>
      <c r="D23" s="117" t="n">
        <f aca="false">B23+C23</f>
        <v>3017157.21662952</v>
      </c>
      <c r="E23" s="106" t="n">
        <f aca="false">IF(Z23=0,0,IF(AND(Z23=1,$H$3=1),D23*U23,IF($H$3=2,D23,"N/A")))</f>
        <v>0</v>
      </c>
      <c r="F23" s="106" t="n">
        <f aca="false">E23*Y23</f>
        <v>0</v>
      </c>
      <c r="G23" s="118" t="n">
        <f aca="false">VLOOKUP($A23,Table,MATCH(G$4,Curves,0))</f>
        <v>3</v>
      </c>
      <c r="H23" s="119" t="n">
        <f aca="false">G23+$H$7</f>
        <v>3</v>
      </c>
      <c r="I23" s="118" t="n">
        <f aca="false">'Inputs-Summary'!$B$16</f>
        <v>1.85</v>
      </c>
      <c r="J23" s="118" t="n">
        <f aca="false">VLOOKUP($A23,Table,MATCH(J$4,Curves,0))</f>
        <v>5</v>
      </c>
      <c r="K23" s="119" t="n">
        <f aca="false">J23+$K$7</f>
        <v>5</v>
      </c>
      <c r="L23" s="120" t="n">
        <f aca="false">K23</f>
        <v>5</v>
      </c>
      <c r="M23" s="118" t="n">
        <f aca="false">VLOOKUP($A23,Table,MATCH(M$4,Curves,0))</f>
        <v>5</v>
      </c>
      <c r="N23" s="119" t="n">
        <f aca="false">M23+$N$7</f>
        <v>5</v>
      </c>
      <c r="O23" s="120" t="n">
        <f aca="false">N23</f>
        <v>5</v>
      </c>
      <c r="P23" s="109"/>
      <c r="Q23" s="120" t="n">
        <f aca="false">IF($F$3=1,M23+J23+G23,J23+G23)</f>
        <v>8</v>
      </c>
      <c r="R23" s="120" t="n">
        <f aca="false">IF($F$3=1,N23+K23+H23,K23+H23)</f>
        <v>8</v>
      </c>
      <c r="S23" s="120" t="n">
        <f aca="false">IF($F$3=1,O23+L23+I23,L23+I23)</f>
        <v>6.85</v>
      </c>
      <c r="T23" s="121"/>
      <c r="U23" s="67" t="n">
        <f aca="false">A24-A23</f>
        <v>28</v>
      </c>
      <c r="V23" s="122" t="n">
        <f aca="false">CHOOSE(F$3,A24+24,A23)</f>
        <v>37653</v>
      </c>
      <c r="W23" s="67" t="n">
        <f aca="false">V23-C$3</f>
        <v>-8273</v>
      </c>
      <c r="X23" s="118" t="n">
        <f aca="false">VLOOKUP($A23,Table,MATCH(X$4,Curves,0))</f>
        <v>2</v>
      </c>
      <c r="Y23" s="123" t="n">
        <f aca="false">1/(1+CHOOSE(F$3,(X24+($K$3/10000))/2,(X23+($K$3/10000))/2))^(2*W23/365.25)</f>
        <v>43331431259341.5</v>
      </c>
      <c r="Z23" s="67" t="n">
        <f aca="false">IF(AND(mthbeg&lt;=A23,mthend&gt;=A23),1,0)</f>
        <v>0</v>
      </c>
      <c r="AA23" s="67" t="n">
        <f aca="false">U23*Z23</f>
        <v>0</v>
      </c>
      <c r="AC23" s="110" t="n">
        <f aca="false">F23*(H23-I23)</f>
        <v>0</v>
      </c>
      <c r="AD23" s="49"/>
      <c r="AE23" s="124"/>
    </row>
    <row r="24" customFormat="false" ht="12.75" hidden="false" customHeight="false" outlineLevel="0" collapsed="false">
      <c r="A24" s="115" t="n">
        <f aca="false">EDATE(A23,1)</f>
        <v>37681</v>
      </c>
      <c r="B24" s="116" t="n">
        <f aca="false">'Inputs-Summary'!$B$7</f>
        <v>3017157.21662952</v>
      </c>
      <c r="C24" s="57"/>
      <c r="D24" s="117" t="n">
        <f aca="false">B24+C24</f>
        <v>3017157.21662952</v>
      </c>
      <c r="E24" s="106" t="n">
        <f aca="false">IF(Z24=0,0,IF(AND(Z24=1,$H$3=1),D24*U24,IF($H$3=2,D24,"N/A")))</f>
        <v>0</v>
      </c>
      <c r="F24" s="106" t="n">
        <f aca="false">E24*Y24</f>
        <v>0</v>
      </c>
      <c r="G24" s="118" t="n">
        <f aca="false">VLOOKUP($A24,Table,MATCH(G$4,Curves,0))</f>
        <v>3</v>
      </c>
      <c r="H24" s="119" t="n">
        <f aca="false">G24+$H$7</f>
        <v>3</v>
      </c>
      <c r="I24" s="118" t="n">
        <f aca="false">'Inputs-Summary'!$B$16</f>
        <v>1.85</v>
      </c>
      <c r="J24" s="118" t="n">
        <f aca="false">VLOOKUP($A24,Table,MATCH(J$4,Curves,0))</f>
        <v>5</v>
      </c>
      <c r="K24" s="119" t="n">
        <f aca="false">J24+$K$7</f>
        <v>5</v>
      </c>
      <c r="L24" s="120" t="n">
        <f aca="false">K24</f>
        <v>5</v>
      </c>
      <c r="M24" s="118" t="n">
        <f aca="false">VLOOKUP($A24,Table,MATCH(M$4,Curves,0))</f>
        <v>5</v>
      </c>
      <c r="N24" s="119" t="n">
        <f aca="false">M24+$N$7</f>
        <v>5</v>
      </c>
      <c r="O24" s="120" t="n">
        <f aca="false">N24</f>
        <v>5</v>
      </c>
      <c r="P24" s="109"/>
      <c r="Q24" s="120" t="n">
        <f aca="false">IF($F$3=1,M24+J24+G24,J24+G24)</f>
        <v>8</v>
      </c>
      <c r="R24" s="120" t="n">
        <f aca="false">IF($F$3=1,N24+K24+H24,K24+H24)</f>
        <v>8</v>
      </c>
      <c r="S24" s="120" t="n">
        <f aca="false">IF($F$3=1,O24+L24+I24,L24+I24)</f>
        <v>6.85</v>
      </c>
      <c r="T24" s="121"/>
      <c r="U24" s="67" t="n">
        <f aca="false">A25-A24</f>
        <v>31</v>
      </c>
      <c r="V24" s="122" t="n">
        <f aca="false">CHOOSE(F$3,A25+24,A24)</f>
        <v>37681</v>
      </c>
      <c r="W24" s="67" t="n">
        <f aca="false">V24-C$3</f>
        <v>-8245</v>
      </c>
      <c r="X24" s="118" t="n">
        <f aca="false">VLOOKUP($A24,Table,MATCH(X$4,Curves,0))</f>
        <v>2</v>
      </c>
      <c r="Y24" s="123" t="n">
        <f aca="false">1/(1+CHOOSE(F$3,(X25+($K$3/10000))/2,(X24+($K$3/10000))/2))^(2*W24/365.25)</f>
        <v>38962715957944.5</v>
      </c>
      <c r="Z24" s="67" t="n">
        <f aca="false">IF(AND(mthbeg&lt;=A24,mthend&gt;=A24),1,0)</f>
        <v>0</v>
      </c>
      <c r="AA24" s="67" t="n">
        <f aca="false">U24*Z24</f>
        <v>0</v>
      </c>
      <c r="AC24" s="110" t="n">
        <f aca="false">F24*(H24-I24)</f>
        <v>0</v>
      </c>
      <c r="AD24" s="49"/>
      <c r="AE24" s="124"/>
    </row>
    <row r="25" customFormat="false" ht="12.75" hidden="false" customHeight="false" outlineLevel="0" collapsed="false">
      <c r="A25" s="115" t="n">
        <f aca="false">EDATE(A24,1)</f>
        <v>37712</v>
      </c>
      <c r="B25" s="116" t="n">
        <f aca="false">'Inputs-Summary'!$B$7</f>
        <v>3017157.21662952</v>
      </c>
      <c r="C25" s="57"/>
      <c r="D25" s="117" t="n">
        <f aca="false">B25+C25</f>
        <v>3017157.21662952</v>
      </c>
      <c r="E25" s="106" t="n">
        <f aca="false">IF(Z25=0,0,IF(AND(Z25=1,$H$3=1),D25*U25,IF($H$3=2,D25,"N/A")))</f>
        <v>0</v>
      </c>
      <c r="F25" s="106" t="n">
        <f aca="false">E25*Y25</f>
        <v>0</v>
      </c>
      <c r="G25" s="118" t="n">
        <f aca="false">VLOOKUP($A25,Table,MATCH(G$4,Curves,0))</f>
        <v>3</v>
      </c>
      <c r="H25" s="119" t="n">
        <f aca="false">G25+$H$7</f>
        <v>3</v>
      </c>
      <c r="I25" s="118" t="n">
        <f aca="false">'Inputs-Summary'!$B$16</f>
        <v>1.85</v>
      </c>
      <c r="J25" s="118" t="n">
        <f aca="false">VLOOKUP($A25,Table,MATCH(J$4,Curves,0))</f>
        <v>5</v>
      </c>
      <c r="K25" s="119" t="n">
        <f aca="false">J25+$K$7</f>
        <v>5</v>
      </c>
      <c r="L25" s="120" t="n">
        <f aca="false">K25</f>
        <v>5</v>
      </c>
      <c r="M25" s="118" t="n">
        <f aca="false">VLOOKUP($A25,Table,MATCH(M$4,Curves,0))</f>
        <v>5</v>
      </c>
      <c r="N25" s="119" t="n">
        <f aca="false">M25+$N$7</f>
        <v>5</v>
      </c>
      <c r="O25" s="120" t="n">
        <f aca="false">N25</f>
        <v>5</v>
      </c>
      <c r="P25" s="109"/>
      <c r="Q25" s="120" t="n">
        <f aca="false">IF($F$3=1,M25+J25+G25,J25+G25)</f>
        <v>8</v>
      </c>
      <c r="R25" s="120" t="n">
        <f aca="false">IF($F$3=1,N25+K25+H25,K25+H25)</f>
        <v>8</v>
      </c>
      <c r="S25" s="120" t="n">
        <f aca="false">IF($F$3=1,O25+L25+I25,L25+I25)</f>
        <v>6.85</v>
      </c>
      <c r="T25" s="121"/>
      <c r="U25" s="67" t="n">
        <f aca="false">A26-A25</f>
        <v>30</v>
      </c>
      <c r="V25" s="122" t="n">
        <f aca="false">CHOOSE(F$3,A26+24,A25)</f>
        <v>37712</v>
      </c>
      <c r="W25" s="67" t="n">
        <f aca="false">V25-C$3</f>
        <v>-8214</v>
      </c>
      <c r="X25" s="118" t="n">
        <f aca="false">VLOOKUP($A25,Table,MATCH(X$4,Curves,0))</f>
        <v>2</v>
      </c>
      <c r="Y25" s="123" t="n">
        <f aca="false">1/(1+CHOOSE(F$3,(X26+($K$3/10000))/2,(X25+($K$3/10000))/2))^(2*W25/365.25)</f>
        <v>34637804716442.8</v>
      </c>
      <c r="Z25" s="67" t="n">
        <f aca="false">IF(AND(mthbeg&lt;=A25,mthend&gt;=A25),1,0)</f>
        <v>0</v>
      </c>
      <c r="AA25" s="67" t="n">
        <f aca="false">U25*Z25</f>
        <v>0</v>
      </c>
      <c r="AC25" s="110" t="n">
        <f aca="false">F25*(H25-I25)</f>
        <v>0</v>
      </c>
      <c r="AD25" s="49"/>
      <c r="AE25" s="124"/>
    </row>
    <row r="26" customFormat="false" ht="12.75" hidden="false" customHeight="false" outlineLevel="0" collapsed="false">
      <c r="A26" s="115" t="n">
        <f aca="false">EDATE(A25,1)</f>
        <v>37742</v>
      </c>
      <c r="B26" s="116" t="n">
        <f aca="false">'Inputs-Summary'!$B$7</f>
        <v>3017157.21662952</v>
      </c>
      <c r="C26" s="57"/>
      <c r="D26" s="117" t="n">
        <f aca="false">B26+C26</f>
        <v>3017157.21662952</v>
      </c>
      <c r="E26" s="106" t="n">
        <f aca="false">IF(Z26=0,0,IF(AND(Z26=1,$H$3=1),D26*U26,IF($H$3=2,D26,"N/A")))</f>
        <v>0</v>
      </c>
      <c r="F26" s="106" t="n">
        <f aca="false">E26*Y26</f>
        <v>0</v>
      </c>
      <c r="G26" s="118" t="n">
        <f aca="false">VLOOKUP($A26,Table,MATCH(G$4,Curves,0))</f>
        <v>3</v>
      </c>
      <c r="H26" s="119" t="n">
        <f aca="false">G26+$H$7</f>
        <v>3</v>
      </c>
      <c r="I26" s="118" t="n">
        <f aca="false">'Inputs-Summary'!$B$16</f>
        <v>1.85</v>
      </c>
      <c r="J26" s="118" t="n">
        <f aca="false">VLOOKUP($A26,Table,MATCH(J$4,Curves,0))</f>
        <v>5</v>
      </c>
      <c r="K26" s="119" t="n">
        <f aca="false">J26+$K$7</f>
        <v>5</v>
      </c>
      <c r="L26" s="120" t="n">
        <f aca="false">K26</f>
        <v>5</v>
      </c>
      <c r="M26" s="118" t="n">
        <f aca="false">VLOOKUP($A26,Table,MATCH(M$4,Curves,0))</f>
        <v>5</v>
      </c>
      <c r="N26" s="119" t="n">
        <f aca="false">M26+$N$7</f>
        <v>5</v>
      </c>
      <c r="O26" s="120" t="n">
        <f aca="false">N26</f>
        <v>5</v>
      </c>
      <c r="P26" s="109"/>
      <c r="Q26" s="120" t="n">
        <f aca="false">IF($F$3=1,M26+J26+G26,J26+G26)</f>
        <v>8</v>
      </c>
      <c r="R26" s="120" t="n">
        <f aca="false">IF($F$3=1,N26+K26+H26,K26+H26)</f>
        <v>8</v>
      </c>
      <c r="S26" s="120" t="n">
        <f aca="false">IF($F$3=1,O26+L26+I26,L26+I26)</f>
        <v>6.85</v>
      </c>
      <c r="T26" s="121"/>
      <c r="U26" s="67" t="n">
        <f aca="false">A27-A26</f>
        <v>31</v>
      </c>
      <c r="V26" s="122" t="n">
        <f aca="false">CHOOSE(F$3,A27+24,A26)</f>
        <v>37742</v>
      </c>
      <c r="W26" s="67" t="n">
        <f aca="false">V26-C$3</f>
        <v>-8184</v>
      </c>
      <c r="X26" s="118" t="n">
        <f aca="false">VLOOKUP($A26,Table,MATCH(X$4,Curves,0))</f>
        <v>2</v>
      </c>
      <c r="Y26" s="123" t="n">
        <f aca="false">1/(1+CHOOSE(F$3,(X27+($K$3/10000))/2,(X26+($K$3/10000))/2))^(2*W26/365.25)</f>
        <v>30910059905853.4</v>
      </c>
      <c r="Z26" s="67" t="n">
        <f aca="false">IF(AND(mthbeg&lt;=A26,mthend&gt;=A26),1,0)</f>
        <v>0</v>
      </c>
      <c r="AA26" s="67" t="n">
        <f aca="false">U26*Z26</f>
        <v>0</v>
      </c>
      <c r="AC26" s="110" t="n">
        <f aca="false">F26*(H26-I26)</f>
        <v>0</v>
      </c>
      <c r="AD26" s="49"/>
      <c r="AE26" s="124"/>
    </row>
    <row r="27" customFormat="false" ht="12.75" hidden="false" customHeight="false" outlineLevel="0" collapsed="false">
      <c r="A27" s="115" t="n">
        <f aca="false">EDATE(A26,1)</f>
        <v>37773</v>
      </c>
      <c r="B27" s="116" t="n">
        <f aca="false">'Inputs-Summary'!$B$7</f>
        <v>3017157.21662952</v>
      </c>
      <c r="C27" s="57"/>
      <c r="D27" s="117" t="n">
        <f aca="false">B27+C27</f>
        <v>3017157.21662952</v>
      </c>
      <c r="E27" s="106" t="n">
        <f aca="false">IF(Z27=0,0,IF(AND(Z27=1,$H$3=1),D27*U27,IF($H$3=2,D27,"N/A")))</f>
        <v>0</v>
      </c>
      <c r="F27" s="106" t="n">
        <f aca="false">E27*Y27</f>
        <v>0</v>
      </c>
      <c r="G27" s="118" t="n">
        <f aca="false">VLOOKUP($A27,Table,MATCH(G$4,Curves,0))</f>
        <v>3</v>
      </c>
      <c r="H27" s="119" t="n">
        <f aca="false">G27+$H$7</f>
        <v>3</v>
      </c>
      <c r="I27" s="118" t="n">
        <f aca="false">'Inputs-Summary'!$B$16</f>
        <v>1.85</v>
      </c>
      <c r="J27" s="118" t="n">
        <f aca="false">VLOOKUP($A27,Table,MATCH(J$4,Curves,0))</f>
        <v>5</v>
      </c>
      <c r="K27" s="119" t="n">
        <f aca="false">J27+$K$7</f>
        <v>5</v>
      </c>
      <c r="L27" s="120" t="n">
        <f aca="false">K27</f>
        <v>5</v>
      </c>
      <c r="M27" s="118" t="n">
        <f aca="false">VLOOKUP($A27,Table,MATCH(M$4,Curves,0))</f>
        <v>5</v>
      </c>
      <c r="N27" s="119" t="n">
        <f aca="false">M27+$N$7</f>
        <v>5</v>
      </c>
      <c r="O27" s="120" t="n">
        <f aca="false">N27</f>
        <v>5</v>
      </c>
      <c r="P27" s="109"/>
      <c r="Q27" s="120" t="n">
        <f aca="false">IF($F$3=1,M27+J27+G27,J27+G27)</f>
        <v>8</v>
      </c>
      <c r="R27" s="120" t="n">
        <f aca="false">IF($F$3=1,N27+K27+H27,K27+H27)</f>
        <v>8</v>
      </c>
      <c r="S27" s="120" t="n">
        <f aca="false">IF($F$3=1,O27+L27+I27,L27+I27)</f>
        <v>6.85</v>
      </c>
      <c r="T27" s="121"/>
      <c r="U27" s="67" t="n">
        <f aca="false">A28-A27</f>
        <v>30</v>
      </c>
      <c r="V27" s="122" t="n">
        <f aca="false">CHOOSE(F$3,A28+24,A27)</f>
        <v>37773</v>
      </c>
      <c r="W27" s="67" t="n">
        <f aca="false">V27-C$3</f>
        <v>-8153</v>
      </c>
      <c r="X27" s="118" t="n">
        <f aca="false">VLOOKUP($A27,Table,MATCH(X$4,Curves,0))</f>
        <v>2</v>
      </c>
      <c r="Y27" s="123" t="n">
        <f aca="false">1/(1+CHOOSE(F$3,(X28+($K$3/10000))/2,(X27+($K$3/10000))/2))^(2*W27/365.25)</f>
        <v>27479003772430.6</v>
      </c>
      <c r="Z27" s="67" t="n">
        <f aca="false">IF(AND(mthbeg&lt;=A27,mthend&gt;=A27),1,0)</f>
        <v>0</v>
      </c>
      <c r="AA27" s="67" t="n">
        <f aca="false">U27*Z27</f>
        <v>0</v>
      </c>
      <c r="AC27" s="110" t="n">
        <f aca="false">F27*(H27-I27)</f>
        <v>0</v>
      </c>
      <c r="AD27" s="49"/>
      <c r="AE27" s="124"/>
    </row>
    <row r="28" customFormat="false" ht="12.75" hidden="false" customHeight="false" outlineLevel="0" collapsed="false">
      <c r="A28" s="115" t="n">
        <f aca="false">EDATE(A27,1)</f>
        <v>37803</v>
      </c>
      <c r="B28" s="116" t="n">
        <f aca="false">'Inputs-Summary'!$B$7</f>
        <v>3017157.21662952</v>
      </c>
      <c r="C28" s="57"/>
      <c r="D28" s="117" t="n">
        <f aca="false">B28+C28</f>
        <v>3017157.21662952</v>
      </c>
      <c r="E28" s="106" t="n">
        <f aca="false">IF(Z28=0,0,IF(AND(Z28=1,$H$3=1),D28*U28,IF($H$3=2,D28,"N/A")))</f>
        <v>0</v>
      </c>
      <c r="F28" s="106" t="n">
        <f aca="false">E28*Y28</f>
        <v>0</v>
      </c>
      <c r="G28" s="118" t="n">
        <f aca="false">VLOOKUP($A28,Table,MATCH(G$4,Curves,0))</f>
        <v>3</v>
      </c>
      <c r="H28" s="119" t="n">
        <f aca="false">G28+$H$7</f>
        <v>3</v>
      </c>
      <c r="I28" s="118" t="n">
        <f aca="false">'Inputs-Summary'!$B$16</f>
        <v>1.85</v>
      </c>
      <c r="J28" s="118" t="n">
        <f aca="false">VLOOKUP($A28,Table,MATCH(J$4,Curves,0))</f>
        <v>5</v>
      </c>
      <c r="K28" s="119" t="n">
        <f aca="false">J28+$K$7</f>
        <v>5</v>
      </c>
      <c r="L28" s="120" t="n">
        <f aca="false">K28</f>
        <v>5</v>
      </c>
      <c r="M28" s="118" t="n">
        <f aca="false">VLOOKUP($A28,Table,MATCH(M$4,Curves,0))</f>
        <v>5</v>
      </c>
      <c r="N28" s="119" t="n">
        <f aca="false">M28+$N$7</f>
        <v>5</v>
      </c>
      <c r="O28" s="120" t="n">
        <f aca="false">N28</f>
        <v>5</v>
      </c>
      <c r="P28" s="109"/>
      <c r="Q28" s="120" t="n">
        <f aca="false">IF($F$3=1,M28+J28+G28,J28+G28)</f>
        <v>8</v>
      </c>
      <c r="R28" s="120" t="n">
        <f aca="false">IF($F$3=1,N28+K28+H28,K28+H28)</f>
        <v>8</v>
      </c>
      <c r="S28" s="120" t="n">
        <f aca="false">IF($F$3=1,O28+L28+I28,L28+I28)</f>
        <v>6.85</v>
      </c>
      <c r="T28" s="121"/>
      <c r="U28" s="67" t="n">
        <f aca="false">A29-A28</f>
        <v>31</v>
      </c>
      <c r="V28" s="122" t="n">
        <f aca="false">CHOOSE(F$3,A29+24,A28)</f>
        <v>37803</v>
      </c>
      <c r="W28" s="67" t="n">
        <f aca="false">V28-C$3</f>
        <v>-8123</v>
      </c>
      <c r="X28" s="118" t="n">
        <f aca="false">VLOOKUP($A28,Table,MATCH(X$4,Curves,0))</f>
        <v>2</v>
      </c>
      <c r="Y28" s="123" t="n">
        <f aca="false">1/(1+CHOOSE(F$3,(X29+($K$3/10000))/2,(X28+($K$3/10000))/2))^(2*W28/365.25)</f>
        <v>24521694134842.1</v>
      </c>
      <c r="Z28" s="67" t="n">
        <f aca="false">IF(AND(mthbeg&lt;=A28,mthend&gt;=A28),1,0)</f>
        <v>0</v>
      </c>
      <c r="AA28" s="67" t="n">
        <f aca="false">U28*Z28</f>
        <v>0</v>
      </c>
      <c r="AC28" s="110" t="n">
        <f aca="false">F28*(H28-I28)</f>
        <v>0</v>
      </c>
      <c r="AD28" s="49"/>
      <c r="AE28" s="124"/>
    </row>
    <row r="29" customFormat="false" ht="12.75" hidden="false" customHeight="false" outlineLevel="0" collapsed="false">
      <c r="A29" s="115" t="n">
        <f aca="false">EDATE(A28,1)</f>
        <v>37834</v>
      </c>
      <c r="B29" s="116" t="n">
        <f aca="false">'Inputs-Summary'!$B$7</f>
        <v>3017157.21662952</v>
      </c>
      <c r="C29" s="57"/>
      <c r="D29" s="117" t="n">
        <f aca="false">B29+C29</f>
        <v>3017157.21662952</v>
      </c>
      <c r="E29" s="106" t="n">
        <f aca="false">IF(Z29=0,0,IF(AND(Z29=1,$H$3=1),D29*U29,IF($H$3=2,D29,"N/A")))</f>
        <v>0</v>
      </c>
      <c r="F29" s="106" t="n">
        <f aca="false">E29*Y29</f>
        <v>0</v>
      </c>
      <c r="G29" s="118" t="n">
        <f aca="false">VLOOKUP($A29,Table,MATCH(G$4,Curves,0))</f>
        <v>3</v>
      </c>
      <c r="H29" s="119" t="n">
        <f aca="false">G29+$H$7</f>
        <v>3</v>
      </c>
      <c r="I29" s="118" t="n">
        <f aca="false">'Inputs-Summary'!$B$16</f>
        <v>1.85</v>
      </c>
      <c r="J29" s="118" t="n">
        <f aca="false">VLOOKUP($A29,Table,MATCH(J$4,Curves,0))</f>
        <v>5</v>
      </c>
      <c r="K29" s="119" t="n">
        <f aca="false">J29+$K$7</f>
        <v>5</v>
      </c>
      <c r="L29" s="120" t="n">
        <f aca="false">K29</f>
        <v>5</v>
      </c>
      <c r="M29" s="118" t="n">
        <f aca="false">VLOOKUP($A29,Table,MATCH(M$4,Curves,0))</f>
        <v>5</v>
      </c>
      <c r="N29" s="119" t="n">
        <f aca="false">M29+$N$7</f>
        <v>5</v>
      </c>
      <c r="O29" s="120" t="n">
        <f aca="false">N29</f>
        <v>5</v>
      </c>
      <c r="P29" s="109"/>
      <c r="Q29" s="120" t="n">
        <f aca="false">IF($F$3=1,M29+J29+G29,J29+G29)</f>
        <v>8</v>
      </c>
      <c r="R29" s="120" t="n">
        <f aca="false">IF($F$3=1,N29+K29+H29,K29+H29)</f>
        <v>8</v>
      </c>
      <c r="S29" s="120" t="n">
        <f aca="false">IF($F$3=1,O29+L29+I29,L29+I29)</f>
        <v>6.85</v>
      </c>
      <c r="T29" s="121"/>
      <c r="U29" s="67" t="n">
        <f aca="false">A30-A29</f>
        <v>31</v>
      </c>
      <c r="V29" s="122" t="n">
        <f aca="false">CHOOSE(F$3,A30+24,A29)</f>
        <v>37834</v>
      </c>
      <c r="W29" s="67" t="n">
        <f aca="false">V29-C$3</f>
        <v>-8092</v>
      </c>
      <c r="X29" s="118" t="n">
        <f aca="false">VLOOKUP($A29,Table,MATCH(X$4,Curves,0))</f>
        <v>2</v>
      </c>
      <c r="Y29" s="123" t="n">
        <f aca="false">1/(1+CHOOSE(F$3,(X30+($K$3/10000))/2,(X29+($K$3/10000))/2))^(2*W29/365.25)</f>
        <v>21799754762368.2</v>
      </c>
      <c r="Z29" s="67" t="n">
        <f aca="false">IF(AND(mthbeg&lt;=A29,mthend&gt;=A29),1,0)</f>
        <v>0</v>
      </c>
      <c r="AA29" s="67" t="n">
        <f aca="false">U29*Z29</f>
        <v>0</v>
      </c>
      <c r="AC29" s="110" t="n">
        <f aca="false">F29*(H29-I29)</f>
        <v>0</v>
      </c>
      <c r="AD29" s="49"/>
      <c r="AE29" s="124"/>
    </row>
    <row r="30" customFormat="false" ht="12.75" hidden="false" customHeight="false" outlineLevel="0" collapsed="false">
      <c r="A30" s="115" t="n">
        <f aca="false">EDATE(A29,1)</f>
        <v>37865</v>
      </c>
      <c r="B30" s="116" t="n">
        <f aca="false">'Inputs-Summary'!$B$7</f>
        <v>3017157.21662952</v>
      </c>
      <c r="C30" s="57"/>
      <c r="D30" s="117" t="n">
        <f aca="false">B30+C30</f>
        <v>3017157.21662952</v>
      </c>
      <c r="E30" s="106" t="n">
        <f aca="false">IF(Z30=0,0,IF(AND(Z30=1,$H$3=1),D30*U30,IF($H$3=2,D30,"N/A")))</f>
        <v>0</v>
      </c>
      <c r="F30" s="106" t="n">
        <f aca="false">E30*Y30</f>
        <v>0</v>
      </c>
      <c r="G30" s="118" t="n">
        <f aca="false">VLOOKUP($A30,Table,MATCH(G$4,Curves,0))</f>
        <v>3</v>
      </c>
      <c r="H30" s="119" t="n">
        <f aca="false">G30+$H$7</f>
        <v>3</v>
      </c>
      <c r="I30" s="118" t="n">
        <f aca="false">'Inputs-Summary'!$B$16</f>
        <v>1.85</v>
      </c>
      <c r="J30" s="118" t="n">
        <f aca="false">VLOOKUP($A30,Table,MATCH(J$4,Curves,0))</f>
        <v>5</v>
      </c>
      <c r="K30" s="119" t="n">
        <f aca="false">J30+$K$7</f>
        <v>5</v>
      </c>
      <c r="L30" s="120" t="n">
        <f aca="false">K30</f>
        <v>5</v>
      </c>
      <c r="M30" s="118" t="n">
        <f aca="false">VLOOKUP($A30,Table,MATCH(M$4,Curves,0))</f>
        <v>5</v>
      </c>
      <c r="N30" s="119" t="n">
        <f aca="false">M30+$N$7</f>
        <v>5</v>
      </c>
      <c r="O30" s="120" t="n">
        <f aca="false">N30</f>
        <v>5</v>
      </c>
      <c r="P30" s="109"/>
      <c r="Q30" s="120" t="n">
        <f aca="false">IF($F$3=1,M30+J30+G30,J30+G30)</f>
        <v>8</v>
      </c>
      <c r="R30" s="120" t="n">
        <f aca="false">IF($F$3=1,N30+K30+H30,K30+H30)</f>
        <v>8</v>
      </c>
      <c r="S30" s="120" t="n">
        <f aca="false">IF($F$3=1,O30+L30+I30,L30+I30)</f>
        <v>6.85</v>
      </c>
      <c r="T30" s="121"/>
      <c r="U30" s="67" t="n">
        <f aca="false">A31-A30</f>
        <v>30</v>
      </c>
      <c r="V30" s="122" t="n">
        <f aca="false">CHOOSE(F$3,A31+24,A30)</f>
        <v>37865</v>
      </c>
      <c r="W30" s="67" t="n">
        <f aca="false">V30-C$3</f>
        <v>-8061</v>
      </c>
      <c r="X30" s="118" t="n">
        <f aca="false">VLOOKUP($A30,Table,MATCH(X$4,Curves,0))</f>
        <v>2</v>
      </c>
      <c r="Y30" s="123" t="n">
        <f aca="false">1/(1+CHOOSE(F$3,(X31+($K$3/10000))/2,(X30+($K$3/10000))/2))^(2*W30/365.25)</f>
        <v>19379954137188.2</v>
      </c>
      <c r="Z30" s="67" t="n">
        <f aca="false">IF(AND(mthbeg&lt;=A30,mthend&gt;=A30),1,0)</f>
        <v>0</v>
      </c>
      <c r="AA30" s="67" t="n">
        <f aca="false">U30*Z30</f>
        <v>0</v>
      </c>
      <c r="AC30" s="110" t="n">
        <f aca="false">F30*(H30-I30)</f>
        <v>0</v>
      </c>
      <c r="AD30" s="49"/>
      <c r="AE30" s="124"/>
    </row>
    <row r="31" customFormat="false" ht="12.75" hidden="false" customHeight="false" outlineLevel="0" collapsed="false">
      <c r="A31" s="115" t="n">
        <f aca="false">EDATE(A30,1)</f>
        <v>37895</v>
      </c>
      <c r="B31" s="116" t="n">
        <f aca="false">'Inputs-Summary'!$B$7</f>
        <v>3017157.21662952</v>
      </c>
      <c r="C31" s="57"/>
      <c r="D31" s="117" t="n">
        <f aca="false">B31+C31</f>
        <v>3017157.21662952</v>
      </c>
      <c r="E31" s="106" t="n">
        <f aca="false">IF(Z31=0,0,IF(AND(Z31=1,$H$3=1),D31*U31,IF($H$3=2,D31,"N/A")))</f>
        <v>0</v>
      </c>
      <c r="F31" s="106" t="n">
        <f aca="false">E31*Y31</f>
        <v>0</v>
      </c>
      <c r="G31" s="118" t="n">
        <f aca="false">VLOOKUP($A31,Table,MATCH(G$4,Curves,0))</f>
        <v>3</v>
      </c>
      <c r="H31" s="119" t="n">
        <f aca="false">G31+$H$7</f>
        <v>3</v>
      </c>
      <c r="I31" s="118" t="n">
        <f aca="false">'Inputs-Summary'!$B$16</f>
        <v>1.85</v>
      </c>
      <c r="J31" s="118" t="n">
        <f aca="false">VLOOKUP($A31,Table,MATCH(J$4,Curves,0))</f>
        <v>5</v>
      </c>
      <c r="K31" s="119" t="n">
        <f aca="false">J31+$K$7</f>
        <v>5</v>
      </c>
      <c r="L31" s="120" t="n">
        <f aca="false">K31</f>
        <v>5</v>
      </c>
      <c r="M31" s="118" t="n">
        <f aca="false">VLOOKUP($A31,Table,MATCH(M$4,Curves,0))</f>
        <v>5</v>
      </c>
      <c r="N31" s="119" t="n">
        <f aca="false">M31+$N$7</f>
        <v>5</v>
      </c>
      <c r="O31" s="120" t="n">
        <f aca="false">N31</f>
        <v>5</v>
      </c>
      <c r="P31" s="109"/>
      <c r="Q31" s="120" t="n">
        <f aca="false">IF($F$3=1,M31+J31+G31,J31+G31)</f>
        <v>8</v>
      </c>
      <c r="R31" s="120" t="n">
        <f aca="false">IF($F$3=1,N31+K31+H31,K31+H31)</f>
        <v>8</v>
      </c>
      <c r="S31" s="120" t="n">
        <f aca="false">IF($F$3=1,O31+L31+I31,L31+I31)</f>
        <v>6.85</v>
      </c>
      <c r="T31" s="121"/>
      <c r="U31" s="67" t="n">
        <f aca="false">A32-A31</f>
        <v>31</v>
      </c>
      <c r="V31" s="122" t="n">
        <f aca="false">CHOOSE(F$3,A32+24,A31)</f>
        <v>37895</v>
      </c>
      <c r="W31" s="67" t="n">
        <f aca="false">V31-C$3</f>
        <v>-8031</v>
      </c>
      <c r="X31" s="118" t="n">
        <f aca="false">VLOOKUP($A31,Table,MATCH(X$4,Curves,0))</f>
        <v>2</v>
      </c>
      <c r="Y31" s="123" t="n">
        <f aca="false">1/(1+CHOOSE(F$3,(X32+($K$3/10000))/2,(X31+($K$3/10000))/2))^(2*W31/365.25)</f>
        <v>17294269895482.5</v>
      </c>
      <c r="Z31" s="67" t="n">
        <f aca="false">IF(AND(mthbeg&lt;=A31,mthend&gt;=A31),1,0)</f>
        <v>0</v>
      </c>
      <c r="AA31" s="67" t="n">
        <f aca="false">U31*Z31</f>
        <v>0</v>
      </c>
      <c r="AC31" s="110" t="n">
        <f aca="false">F31*(H31-I31)</f>
        <v>0</v>
      </c>
      <c r="AD31" s="49"/>
      <c r="AE31" s="124"/>
    </row>
    <row r="32" customFormat="false" ht="12.75" hidden="false" customHeight="false" outlineLevel="0" collapsed="false">
      <c r="A32" s="115" t="n">
        <f aca="false">EDATE(A31,1)</f>
        <v>37926</v>
      </c>
      <c r="B32" s="116" t="n">
        <f aca="false">'Inputs-Summary'!$B$7</f>
        <v>3017157.21662952</v>
      </c>
      <c r="C32" s="57"/>
      <c r="D32" s="117" t="n">
        <f aca="false">B32+C32</f>
        <v>3017157.21662952</v>
      </c>
      <c r="E32" s="106" t="n">
        <f aca="false">IF(Z32=0,0,IF(AND(Z32=1,$H$3=1),D32*U32,IF($H$3=2,D32,"N/A")))</f>
        <v>0</v>
      </c>
      <c r="F32" s="106" t="n">
        <f aca="false">E32*Y32</f>
        <v>0</v>
      </c>
      <c r="G32" s="118" t="n">
        <f aca="false">VLOOKUP($A32,Table,MATCH(G$4,Curves,0))</f>
        <v>3</v>
      </c>
      <c r="H32" s="119" t="n">
        <f aca="false">G32+$H$7</f>
        <v>3</v>
      </c>
      <c r="I32" s="118" t="n">
        <f aca="false">'Inputs-Summary'!$B$16</f>
        <v>1.85</v>
      </c>
      <c r="J32" s="118" t="n">
        <f aca="false">VLOOKUP($A32,Table,MATCH(J$4,Curves,0))</f>
        <v>5</v>
      </c>
      <c r="K32" s="119" t="n">
        <f aca="false">J32+$K$7</f>
        <v>5</v>
      </c>
      <c r="L32" s="120" t="n">
        <f aca="false">K32</f>
        <v>5</v>
      </c>
      <c r="M32" s="118" t="n">
        <f aca="false">VLOOKUP($A32,Table,MATCH(M$4,Curves,0))</f>
        <v>5</v>
      </c>
      <c r="N32" s="119" t="n">
        <f aca="false">M32+$N$7</f>
        <v>5</v>
      </c>
      <c r="O32" s="120" t="n">
        <f aca="false">N32</f>
        <v>5</v>
      </c>
      <c r="P32" s="109"/>
      <c r="Q32" s="120" t="n">
        <f aca="false">IF($F$3=1,M32+J32+G32,J32+G32)</f>
        <v>8</v>
      </c>
      <c r="R32" s="120" t="n">
        <f aca="false">IF($F$3=1,N32+K32+H32,K32+H32)</f>
        <v>8</v>
      </c>
      <c r="S32" s="120" t="n">
        <f aca="false">IF($F$3=1,O32+L32+I32,L32+I32)</f>
        <v>6.85</v>
      </c>
      <c r="T32" s="121"/>
      <c r="U32" s="67" t="n">
        <f aca="false">A33-A32</f>
        <v>30</v>
      </c>
      <c r="V32" s="122" t="n">
        <f aca="false">CHOOSE(F$3,A33+24,A32)</f>
        <v>37926</v>
      </c>
      <c r="W32" s="67" t="n">
        <f aca="false">V32-C$3</f>
        <v>-8000</v>
      </c>
      <c r="X32" s="118" t="n">
        <f aca="false">VLOOKUP($A32,Table,MATCH(X$4,Curves,0))</f>
        <v>2</v>
      </c>
      <c r="Y32" s="123" t="n">
        <f aca="false">1/(1+CHOOSE(F$3,(X33+($K$3/10000))/2,(X32+($K$3/10000))/2))^(2*W32/365.25)</f>
        <v>15374583845740.2</v>
      </c>
      <c r="Z32" s="67" t="n">
        <f aca="false">IF(AND(mthbeg&lt;=A32,mthend&gt;=A32),1,0)</f>
        <v>0</v>
      </c>
      <c r="AA32" s="67" t="n">
        <f aca="false">U32*Z32</f>
        <v>0</v>
      </c>
      <c r="AC32" s="110" t="n">
        <f aca="false">F32*(H32-I32)</f>
        <v>0</v>
      </c>
      <c r="AD32" s="49"/>
      <c r="AE32" s="124"/>
    </row>
    <row r="33" customFormat="false" ht="12.75" hidden="false" customHeight="false" outlineLevel="0" collapsed="false">
      <c r="A33" s="115" t="n">
        <f aca="false">EDATE(A32,1)</f>
        <v>37956</v>
      </c>
      <c r="B33" s="116" t="n">
        <f aca="false">'Inputs-Summary'!$B$7</f>
        <v>3017157.21662952</v>
      </c>
      <c r="C33" s="57"/>
      <c r="D33" s="117" t="n">
        <f aca="false">B33+C33</f>
        <v>3017157.21662952</v>
      </c>
      <c r="E33" s="106" t="n">
        <f aca="false">IF(Z33=0,0,IF(AND(Z33=1,$H$3=1),D33*U33,IF($H$3=2,D33,"N/A")))</f>
        <v>0</v>
      </c>
      <c r="F33" s="106" t="n">
        <f aca="false">E33*Y33</f>
        <v>0</v>
      </c>
      <c r="G33" s="118" t="n">
        <f aca="false">VLOOKUP($A33,Table,MATCH(G$4,Curves,0))</f>
        <v>3</v>
      </c>
      <c r="H33" s="119" t="n">
        <f aca="false">G33+$H$7</f>
        <v>3</v>
      </c>
      <c r="I33" s="118" t="n">
        <f aca="false">'Inputs-Summary'!$B$16</f>
        <v>1.85</v>
      </c>
      <c r="J33" s="118" t="n">
        <f aca="false">VLOOKUP($A33,Table,MATCH(J$4,Curves,0))</f>
        <v>5</v>
      </c>
      <c r="K33" s="119" t="n">
        <f aca="false">J33+$K$7</f>
        <v>5</v>
      </c>
      <c r="L33" s="120" t="n">
        <f aca="false">K33</f>
        <v>5</v>
      </c>
      <c r="M33" s="118" t="n">
        <f aca="false">VLOOKUP($A33,Table,MATCH(M$4,Curves,0))</f>
        <v>5</v>
      </c>
      <c r="N33" s="119" t="n">
        <f aca="false">M33+$N$7</f>
        <v>5</v>
      </c>
      <c r="O33" s="120" t="n">
        <f aca="false">N33</f>
        <v>5</v>
      </c>
      <c r="P33" s="109"/>
      <c r="Q33" s="120" t="n">
        <f aca="false">IF($F$3=1,M33+J33+G33,J33+G33)</f>
        <v>8</v>
      </c>
      <c r="R33" s="120" t="n">
        <f aca="false">IF($F$3=1,N33+K33+H33,K33+H33)</f>
        <v>8</v>
      </c>
      <c r="S33" s="120" t="n">
        <f aca="false">IF($F$3=1,O33+L33+I33,L33+I33)</f>
        <v>6.85</v>
      </c>
      <c r="T33" s="121"/>
      <c r="U33" s="67" t="n">
        <f aca="false">A34-A33</f>
        <v>31</v>
      </c>
      <c r="V33" s="122" t="n">
        <f aca="false">CHOOSE(F$3,A34+24,A33)</f>
        <v>37956</v>
      </c>
      <c r="W33" s="67" t="n">
        <f aca="false">V33-C$3</f>
        <v>-7970</v>
      </c>
      <c r="X33" s="118" t="n">
        <f aca="false">VLOOKUP($A33,Table,MATCH(X$4,Curves,0))</f>
        <v>2</v>
      </c>
      <c r="Y33" s="123" t="n">
        <f aca="false">1/(1+CHOOSE(F$3,(X34+($K$3/10000))/2,(X33+($K$3/10000))/2))^(2*W33/365.25)</f>
        <v>13719960360934.9</v>
      </c>
      <c r="Z33" s="67" t="n">
        <f aca="false">IF(AND(mthbeg&lt;=A33,mthend&gt;=A33),1,0)</f>
        <v>0</v>
      </c>
      <c r="AA33" s="67" t="n">
        <f aca="false">U33*Z33</f>
        <v>0</v>
      </c>
      <c r="AC33" s="110" t="n">
        <f aca="false">F33*(H33-I33)</f>
        <v>0</v>
      </c>
      <c r="AD33" s="49"/>
      <c r="AE33" s="124"/>
    </row>
    <row r="34" customFormat="false" ht="12.75" hidden="false" customHeight="false" outlineLevel="0" collapsed="false">
      <c r="A34" s="115" t="n">
        <f aca="false">EDATE(A33,1)</f>
        <v>37987</v>
      </c>
      <c r="B34" s="116" t="n">
        <f aca="false">'Inputs-Summary'!$B$7</f>
        <v>3017157.21662952</v>
      </c>
      <c r="C34" s="57"/>
      <c r="D34" s="117" t="n">
        <f aca="false">B34+C34</f>
        <v>3017157.21662952</v>
      </c>
      <c r="E34" s="106" t="n">
        <f aca="false">IF(Z34=0,0,IF(AND(Z34=1,$H$3=1),D34*U34,IF($H$3=2,D34,"N/A")))</f>
        <v>0</v>
      </c>
      <c r="F34" s="106" t="n">
        <f aca="false">E34*Y34</f>
        <v>0</v>
      </c>
      <c r="G34" s="118" t="n">
        <f aca="false">VLOOKUP($A34,Table,MATCH(G$4,Curves,0))</f>
        <v>3</v>
      </c>
      <c r="H34" s="119" t="n">
        <f aca="false">G34+$H$7</f>
        <v>3</v>
      </c>
      <c r="I34" s="118" t="n">
        <f aca="false">'Inputs-Summary'!$B$16</f>
        <v>1.85</v>
      </c>
      <c r="J34" s="118" t="n">
        <f aca="false">VLOOKUP($A34,Table,MATCH(J$4,Curves,0))</f>
        <v>5</v>
      </c>
      <c r="K34" s="119" t="n">
        <f aca="false">J34+$K$7</f>
        <v>5</v>
      </c>
      <c r="L34" s="120" t="n">
        <f aca="false">K34</f>
        <v>5</v>
      </c>
      <c r="M34" s="118" t="n">
        <f aca="false">VLOOKUP($A34,Table,MATCH(M$4,Curves,0))</f>
        <v>5</v>
      </c>
      <c r="N34" s="119" t="n">
        <f aca="false">M34+$N$7</f>
        <v>5</v>
      </c>
      <c r="O34" s="120" t="n">
        <f aca="false">N34</f>
        <v>5</v>
      </c>
      <c r="P34" s="109"/>
      <c r="Q34" s="120" t="n">
        <f aca="false">IF($F$3=1,M34+J34+G34,J34+G34)</f>
        <v>8</v>
      </c>
      <c r="R34" s="120" t="n">
        <f aca="false">IF($F$3=1,N34+K34+H34,K34+H34)</f>
        <v>8</v>
      </c>
      <c r="S34" s="120" t="n">
        <f aca="false">IF($F$3=1,O34+L34+I34,L34+I34)</f>
        <v>6.85</v>
      </c>
      <c r="T34" s="121"/>
      <c r="U34" s="67" t="n">
        <f aca="false">A35-A34</f>
        <v>31</v>
      </c>
      <c r="V34" s="122" t="n">
        <f aca="false">CHOOSE(F$3,A35+24,A34)</f>
        <v>37987</v>
      </c>
      <c r="W34" s="67" t="n">
        <f aca="false">V34-C$3</f>
        <v>-7939</v>
      </c>
      <c r="X34" s="118" t="n">
        <f aca="false">VLOOKUP($A34,Table,MATCH(X$4,Curves,0))</f>
        <v>2</v>
      </c>
      <c r="Y34" s="123" t="n">
        <f aca="false">1/(1+CHOOSE(F$3,(X35+($K$3/10000))/2,(X34+($K$3/10000))/2))^(2*W34/365.25)</f>
        <v>12197027235276.6</v>
      </c>
      <c r="Z34" s="67" t="n">
        <f aca="false">IF(AND(mthbeg&lt;=A34,mthend&gt;=A34),1,0)</f>
        <v>0</v>
      </c>
      <c r="AA34" s="67" t="n">
        <f aca="false">U34*Z34</f>
        <v>0</v>
      </c>
      <c r="AC34" s="110" t="n">
        <f aca="false">F34*(H34-I34)</f>
        <v>0</v>
      </c>
      <c r="AD34" s="49"/>
      <c r="AE34" s="124"/>
    </row>
    <row r="35" customFormat="false" ht="12.75" hidden="false" customHeight="false" outlineLevel="0" collapsed="false">
      <c r="A35" s="115" t="n">
        <f aca="false">EDATE(A34,1)</f>
        <v>38018</v>
      </c>
      <c r="B35" s="116" t="n">
        <f aca="false">'Inputs-Summary'!$B$7</f>
        <v>3017157.21662952</v>
      </c>
      <c r="C35" s="57"/>
      <c r="D35" s="117" t="n">
        <f aca="false">B35+C35</f>
        <v>3017157.21662952</v>
      </c>
      <c r="E35" s="106" t="n">
        <f aca="false">IF(Z35=0,0,IF(AND(Z35=1,$H$3=1),D35*U35,IF($H$3=2,D35,"N/A")))</f>
        <v>0</v>
      </c>
      <c r="F35" s="106" t="n">
        <f aca="false">E35*Y35</f>
        <v>0</v>
      </c>
      <c r="G35" s="118" t="n">
        <f aca="false">VLOOKUP($A35,Table,MATCH(G$4,Curves,0))</f>
        <v>3</v>
      </c>
      <c r="H35" s="119" t="n">
        <f aca="false">G35+$H$7</f>
        <v>3</v>
      </c>
      <c r="I35" s="118" t="n">
        <f aca="false">'Inputs-Summary'!$B$16</f>
        <v>1.85</v>
      </c>
      <c r="J35" s="118" t="n">
        <f aca="false">VLOOKUP($A35,Table,MATCH(J$4,Curves,0))</f>
        <v>5</v>
      </c>
      <c r="K35" s="119" t="n">
        <f aca="false">J35+$K$7</f>
        <v>5</v>
      </c>
      <c r="L35" s="120" t="n">
        <f aca="false">K35</f>
        <v>5</v>
      </c>
      <c r="M35" s="118" t="n">
        <f aca="false">VLOOKUP($A35,Table,MATCH(M$4,Curves,0))</f>
        <v>5</v>
      </c>
      <c r="N35" s="119" t="n">
        <f aca="false">M35+$N$7</f>
        <v>5</v>
      </c>
      <c r="O35" s="120" t="n">
        <f aca="false">N35</f>
        <v>5</v>
      </c>
      <c r="P35" s="109"/>
      <c r="Q35" s="120" t="n">
        <f aca="false">IF($F$3=1,M35+J35+G35,J35+G35)</f>
        <v>8</v>
      </c>
      <c r="R35" s="120" t="n">
        <f aca="false">IF($F$3=1,N35+K35+H35,K35+H35)</f>
        <v>8</v>
      </c>
      <c r="S35" s="120" t="n">
        <f aca="false">IF($F$3=1,O35+L35+I35,L35+I35)</f>
        <v>6.85</v>
      </c>
      <c r="T35" s="121"/>
      <c r="U35" s="67" t="n">
        <f aca="false">A36-A35</f>
        <v>29</v>
      </c>
      <c r="V35" s="122" t="n">
        <f aca="false">CHOOSE(F$3,A36+24,A35)</f>
        <v>38018</v>
      </c>
      <c r="W35" s="67" t="n">
        <f aca="false">V35-C$3</f>
        <v>-7908</v>
      </c>
      <c r="X35" s="118" t="n">
        <f aca="false">VLOOKUP($A35,Table,MATCH(X$4,Curves,0))</f>
        <v>2</v>
      </c>
      <c r="Y35" s="123" t="n">
        <f aca="false">1/(1+CHOOSE(F$3,(X36+($K$3/10000))/2,(X35+($K$3/10000))/2))^(2*W35/365.25)</f>
        <v>10843141631929.8</v>
      </c>
      <c r="Z35" s="67" t="n">
        <f aca="false">IF(AND(mthbeg&lt;=A35,mthend&gt;=A35),1,0)</f>
        <v>0</v>
      </c>
      <c r="AA35" s="67" t="n">
        <f aca="false">U35*Z35</f>
        <v>0</v>
      </c>
      <c r="AC35" s="110" t="n">
        <f aca="false">F35*(H35-I35)</f>
        <v>0</v>
      </c>
      <c r="AD35" s="49"/>
      <c r="AE35" s="124"/>
    </row>
    <row r="36" customFormat="false" ht="12.75" hidden="false" customHeight="false" outlineLevel="0" collapsed="false">
      <c r="A36" s="115" t="n">
        <f aca="false">EDATE(A35,1)</f>
        <v>38047</v>
      </c>
      <c r="B36" s="116" t="n">
        <f aca="false">'Inputs-Summary'!$B$7</f>
        <v>3017157.21662952</v>
      </c>
      <c r="C36" s="57"/>
      <c r="D36" s="117" t="n">
        <f aca="false">B36+C36</f>
        <v>3017157.21662952</v>
      </c>
      <c r="E36" s="106" t="n">
        <f aca="false">IF(Z36=0,0,IF(AND(Z36=1,$H$3=1),D36*U36,IF($H$3=2,D36,"N/A")))</f>
        <v>0</v>
      </c>
      <c r="F36" s="106" t="n">
        <f aca="false">E36*Y36</f>
        <v>0</v>
      </c>
      <c r="G36" s="118" t="n">
        <f aca="false">VLOOKUP($A36,Table,MATCH(G$4,Curves,0))</f>
        <v>3</v>
      </c>
      <c r="H36" s="119" t="n">
        <f aca="false">G36+$H$7</f>
        <v>3</v>
      </c>
      <c r="I36" s="118" t="n">
        <f aca="false">'Inputs-Summary'!$B$16</f>
        <v>1.85</v>
      </c>
      <c r="J36" s="118" t="n">
        <f aca="false">VLOOKUP($A36,Table,MATCH(J$4,Curves,0))</f>
        <v>5</v>
      </c>
      <c r="K36" s="119" t="n">
        <f aca="false">J36+$K$7</f>
        <v>5</v>
      </c>
      <c r="L36" s="120" t="n">
        <f aca="false">K36</f>
        <v>5</v>
      </c>
      <c r="M36" s="118" t="n">
        <f aca="false">VLOOKUP($A36,Table,MATCH(M$4,Curves,0))</f>
        <v>5</v>
      </c>
      <c r="N36" s="119" t="n">
        <f aca="false">M36+$N$7</f>
        <v>5</v>
      </c>
      <c r="O36" s="120" t="n">
        <f aca="false">N36</f>
        <v>5</v>
      </c>
      <c r="P36" s="109"/>
      <c r="Q36" s="120" t="n">
        <f aca="false">IF($F$3=1,M36+J36+G36,J36+G36)</f>
        <v>8</v>
      </c>
      <c r="R36" s="120" t="n">
        <f aca="false">IF($F$3=1,N36+K36+H36,K36+H36)</f>
        <v>8</v>
      </c>
      <c r="S36" s="120" t="n">
        <f aca="false">IF($F$3=1,O36+L36+I36,L36+I36)</f>
        <v>6.85</v>
      </c>
      <c r="T36" s="121"/>
      <c r="U36" s="67" t="n">
        <f aca="false">A37-A36</f>
        <v>31</v>
      </c>
      <c r="V36" s="122" t="n">
        <f aca="false">CHOOSE(F$3,A37+24,A36)</f>
        <v>38047</v>
      </c>
      <c r="W36" s="67" t="n">
        <f aca="false">V36-C$3</f>
        <v>-7879</v>
      </c>
      <c r="X36" s="118" t="n">
        <f aca="false">VLOOKUP($A36,Table,MATCH(X$4,Curves,0))</f>
        <v>2</v>
      </c>
      <c r="Y36" s="123" t="n">
        <f aca="false">1/(1+CHOOSE(F$3,(X37+($K$3/10000))/2,(X36+($K$3/10000))/2))^(2*W36/365.25)</f>
        <v>9712990597042.46</v>
      </c>
      <c r="Z36" s="67" t="n">
        <f aca="false">IF(AND(mthbeg&lt;=A36,mthend&gt;=A36),1,0)</f>
        <v>0</v>
      </c>
      <c r="AA36" s="67" t="n">
        <f aca="false">U36*Z36</f>
        <v>0</v>
      </c>
      <c r="AC36" s="110" t="n">
        <f aca="false">F36*(H36-I36)</f>
        <v>0</v>
      </c>
      <c r="AD36" s="49"/>
      <c r="AE36" s="124"/>
    </row>
    <row r="37" customFormat="false" ht="12.75" hidden="false" customHeight="false" outlineLevel="0" collapsed="false">
      <c r="A37" s="115" t="n">
        <f aca="false">EDATE(A36,1)</f>
        <v>38078</v>
      </c>
      <c r="B37" s="116" t="n">
        <f aca="false">'Inputs-Summary'!$B$7</f>
        <v>3017157.21662952</v>
      </c>
      <c r="C37" s="57"/>
      <c r="D37" s="117" t="n">
        <f aca="false">B37+C37</f>
        <v>3017157.21662952</v>
      </c>
      <c r="E37" s="106" t="n">
        <f aca="false">IF(Z37=0,0,IF(AND(Z37=1,$H$3=1),D37*U37,IF($H$3=2,D37,"N/A")))</f>
        <v>0</v>
      </c>
      <c r="F37" s="106" t="n">
        <f aca="false">E37*Y37</f>
        <v>0</v>
      </c>
      <c r="G37" s="118" t="n">
        <f aca="false">VLOOKUP($A37,Table,MATCH(G$4,Curves,0))</f>
        <v>3</v>
      </c>
      <c r="H37" s="119" t="n">
        <f aca="false">G37+$H$7</f>
        <v>3</v>
      </c>
      <c r="I37" s="118" t="n">
        <f aca="false">'Inputs-Summary'!$B$16</f>
        <v>1.85</v>
      </c>
      <c r="J37" s="118" t="n">
        <f aca="false">VLOOKUP($A37,Table,MATCH(J$4,Curves,0))</f>
        <v>5</v>
      </c>
      <c r="K37" s="119" t="n">
        <f aca="false">J37+$K$7</f>
        <v>5</v>
      </c>
      <c r="L37" s="120" t="n">
        <f aca="false">K37</f>
        <v>5</v>
      </c>
      <c r="M37" s="118" t="n">
        <f aca="false">VLOOKUP($A37,Table,MATCH(M$4,Curves,0))</f>
        <v>5</v>
      </c>
      <c r="N37" s="119" t="n">
        <f aca="false">M37+$N$7</f>
        <v>5</v>
      </c>
      <c r="O37" s="120" t="n">
        <f aca="false">N37</f>
        <v>5</v>
      </c>
      <c r="P37" s="109"/>
      <c r="Q37" s="120" t="n">
        <f aca="false">IF($F$3=1,M37+J37+G37,J37+G37)</f>
        <v>8</v>
      </c>
      <c r="R37" s="120" t="n">
        <f aca="false">IF($F$3=1,N37+K37+H37,K37+H37)</f>
        <v>8</v>
      </c>
      <c r="S37" s="120" t="n">
        <f aca="false">IF($F$3=1,O37+L37+I37,L37+I37)</f>
        <v>6.85</v>
      </c>
      <c r="T37" s="121"/>
      <c r="U37" s="67" t="n">
        <f aca="false">A38-A37</f>
        <v>30</v>
      </c>
      <c r="V37" s="122" t="n">
        <f aca="false">CHOOSE(F$3,A38+24,A37)</f>
        <v>38078</v>
      </c>
      <c r="W37" s="67" t="n">
        <f aca="false">V37-C$3</f>
        <v>-7848</v>
      </c>
      <c r="X37" s="118" t="n">
        <f aca="false">VLOOKUP($A37,Table,MATCH(X$4,Curves,0))</f>
        <v>2</v>
      </c>
      <c r="Y37" s="123" t="n">
        <f aca="false">1/(1+CHOOSE(F$3,(X38+($K$3/10000))/2,(X37+($K$3/10000))/2))^(2*W37/365.25)</f>
        <v>8634836233596.87</v>
      </c>
      <c r="Z37" s="67" t="n">
        <f aca="false">IF(AND(mthbeg&lt;=A37,mthend&gt;=A37),1,0)</f>
        <v>0</v>
      </c>
      <c r="AA37" s="67" t="n">
        <f aca="false">U37*Z37</f>
        <v>0</v>
      </c>
      <c r="AC37" s="110" t="n">
        <f aca="false">F37*(H37-I37)</f>
        <v>0</v>
      </c>
      <c r="AD37" s="49"/>
      <c r="AE37" s="124"/>
    </row>
    <row r="38" customFormat="false" ht="12.75" hidden="false" customHeight="false" outlineLevel="0" collapsed="false">
      <c r="A38" s="115" t="n">
        <f aca="false">EDATE(A37,1)</f>
        <v>38108</v>
      </c>
      <c r="B38" s="116" t="n">
        <f aca="false">'Inputs-Summary'!$B$7</f>
        <v>3017157.21662952</v>
      </c>
      <c r="C38" s="57"/>
      <c r="D38" s="117" t="n">
        <f aca="false">B38+C38</f>
        <v>3017157.21662952</v>
      </c>
      <c r="E38" s="106" t="n">
        <f aca="false">IF(Z38=0,0,IF(AND(Z38=1,$H$3=1),D38*U38,IF($H$3=2,D38,"N/A")))</f>
        <v>0</v>
      </c>
      <c r="F38" s="106" t="n">
        <f aca="false">E38*Y38</f>
        <v>0</v>
      </c>
      <c r="G38" s="118" t="n">
        <f aca="false">VLOOKUP($A38,Table,MATCH(G$4,Curves,0))</f>
        <v>3</v>
      </c>
      <c r="H38" s="119" t="n">
        <f aca="false">G38+$H$7</f>
        <v>3</v>
      </c>
      <c r="I38" s="118" t="n">
        <f aca="false">'Inputs-Summary'!$B$16</f>
        <v>1.85</v>
      </c>
      <c r="J38" s="118" t="n">
        <f aca="false">VLOOKUP($A38,Table,MATCH(J$4,Curves,0))</f>
        <v>5</v>
      </c>
      <c r="K38" s="119" t="n">
        <f aca="false">J38+$K$7</f>
        <v>5</v>
      </c>
      <c r="L38" s="120" t="n">
        <f aca="false">K38</f>
        <v>5</v>
      </c>
      <c r="M38" s="118" t="n">
        <f aca="false">VLOOKUP($A38,Table,MATCH(M$4,Curves,0))</f>
        <v>5</v>
      </c>
      <c r="N38" s="119" t="n">
        <f aca="false">M38+$N$7</f>
        <v>5</v>
      </c>
      <c r="O38" s="120" t="n">
        <f aca="false">N38</f>
        <v>5</v>
      </c>
      <c r="P38" s="109"/>
      <c r="Q38" s="120" t="n">
        <f aca="false">IF($F$3=1,M38+J38+G38,J38+G38)</f>
        <v>8</v>
      </c>
      <c r="R38" s="120" t="n">
        <f aca="false">IF($F$3=1,N38+K38+H38,K38+H38)</f>
        <v>8</v>
      </c>
      <c r="S38" s="120" t="n">
        <f aca="false">IF($F$3=1,O38+L38+I38,L38+I38)</f>
        <v>6.85</v>
      </c>
      <c r="T38" s="121"/>
      <c r="U38" s="67" t="n">
        <f aca="false">A39-A38</f>
        <v>31</v>
      </c>
      <c r="V38" s="122" t="n">
        <f aca="false">CHOOSE(F$3,A39+24,A38)</f>
        <v>38108</v>
      </c>
      <c r="W38" s="67" t="n">
        <f aca="false">V38-C$3</f>
        <v>-7818</v>
      </c>
      <c r="X38" s="118" t="n">
        <f aca="false">VLOOKUP($A38,Table,MATCH(X$4,Curves,0))</f>
        <v>2</v>
      </c>
      <c r="Y38" s="123" t="n">
        <f aca="false">1/(1+CHOOSE(F$3,(X39+($K$3/10000))/2,(X38+($K$3/10000))/2))^(2*W38/365.25)</f>
        <v>7705549108630.77</v>
      </c>
      <c r="Z38" s="67" t="n">
        <f aca="false">IF(AND(mthbeg&lt;=A38,mthend&gt;=A38),1,0)</f>
        <v>0</v>
      </c>
      <c r="AA38" s="67" t="n">
        <f aca="false">U38*Z38</f>
        <v>0</v>
      </c>
      <c r="AC38" s="110" t="n">
        <f aca="false">F38*(H38-I38)</f>
        <v>0</v>
      </c>
      <c r="AD38" s="49"/>
      <c r="AE38" s="124"/>
    </row>
    <row r="39" customFormat="false" ht="12.75" hidden="false" customHeight="false" outlineLevel="0" collapsed="false">
      <c r="A39" s="115" t="n">
        <f aca="false">EDATE(A38,1)</f>
        <v>38139</v>
      </c>
      <c r="B39" s="116" t="n">
        <f aca="false">'Inputs-Summary'!$B$7</f>
        <v>3017157.21662952</v>
      </c>
      <c r="C39" s="57"/>
      <c r="D39" s="117" t="n">
        <f aca="false">B39+C39</f>
        <v>3017157.21662952</v>
      </c>
      <c r="E39" s="106" t="n">
        <f aca="false">IF(Z39=0,0,IF(AND(Z39=1,$H$3=1),D39*U39,IF($H$3=2,D39,"N/A")))</f>
        <v>0</v>
      </c>
      <c r="F39" s="106" t="n">
        <f aca="false">E39*Y39</f>
        <v>0</v>
      </c>
      <c r="G39" s="118" t="n">
        <f aca="false">VLOOKUP($A39,Table,MATCH(G$4,Curves,0))</f>
        <v>3</v>
      </c>
      <c r="H39" s="119" t="n">
        <f aca="false">G39+$H$7</f>
        <v>3</v>
      </c>
      <c r="I39" s="118" t="n">
        <f aca="false">'Inputs-Summary'!$B$16</f>
        <v>1.85</v>
      </c>
      <c r="J39" s="118" t="n">
        <f aca="false">VLOOKUP($A39,Table,MATCH(J$4,Curves,0))</f>
        <v>5</v>
      </c>
      <c r="K39" s="119" t="n">
        <f aca="false">J39+$K$7</f>
        <v>5</v>
      </c>
      <c r="L39" s="120" t="n">
        <f aca="false">K39</f>
        <v>5</v>
      </c>
      <c r="M39" s="118" t="n">
        <f aca="false">VLOOKUP($A39,Table,MATCH(M$4,Curves,0))</f>
        <v>5</v>
      </c>
      <c r="N39" s="119" t="n">
        <f aca="false">M39+$N$7</f>
        <v>5</v>
      </c>
      <c r="O39" s="120" t="n">
        <f aca="false">N39</f>
        <v>5</v>
      </c>
      <c r="P39" s="109"/>
      <c r="Q39" s="120" t="n">
        <f aca="false">IF($F$3=1,M39+J39+G39,J39+G39)</f>
        <v>8</v>
      </c>
      <c r="R39" s="120" t="n">
        <f aca="false">IF($F$3=1,N39+K39+H39,K39+H39)</f>
        <v>8</v>
      </c>
      <c r="S39" s="120" t="n">
        <f aca="false">IF($F$3=1,O39+L39+I39,L39+I39)</f>
        <v>6.85</v>
      </c>
      <c r="T39" s="121"/>
      <c r="U39" s="67" t="n">
        <f aca="false">A40-A39</f>
        <v>30</v>
      </c>
      <c r="V39" s="122" t="n">
        <f aca="false">CHOOSE(F$3,A40+24,A39)</f>
        <v>38139</v>
      </c>
      <c r="W39" s="67" t="n">
        <f aca="false">V39-C$3</f>
        <v>-7787</v>
      </c>
      <c r="X39" s="118" t="n">
        <f aca="false">VLOOKUP($A39,Table,MATCH(X$4,Curves,0))</f>
        <v>2</v>
      </c>
      <c r="Y39" s="123" t="n">
        <f aca="false">1/(1+CHOOSE(F$3,(X40+($K$3/10000))/2,(X39+($K$3/10000))/2))^(2*W39/365.25)</f>
        <v>6850223314663.23</v>
      </c>
      <c r="Z39" s="67" t="n">
        <f aca="false">IF(AND(mthbeg&lt;=A39,mthend&gt;=A39),1,0)</f>
        <v>0</v>
      </c>
      <c r="AA39" s="67" t="n">
        <f aca="false">U39*Z39</f>
        <v>0</v>
      </c>
      <c r="AC39" s="110" t="n">
        <f aca="false">F39*(H39-I39)</f>
        <v>0</v>
      </c>
      <c r="AD39" s="49"/>
      <c r="AE39" s="124"/>
    </row>
    <row r="40" customFormat="false" ht="12.75" hidden="false" customHeight="false" outlineLevel="0" collapsed="false">
      <c r="A40" s="115" t="n">
        <f aca="false">EDATE(A39,1)</f>
        <v>38169</v>
      </c>
      <c r="B40" s="116" t="n">
        <f aca="false">'Inputs-Summary'!$B$7</f>
        <v>3017157.21662952</v>
      </c>
      <c r="C40" s="57"/>
      <c r="D40" s="117" t="n">
        <f aca="false">B40+C40</f>
        <v>3017157.21662952</v>
      </c>
      <c r="E40" s="106" t="n">
        <f aca="false">IF(Z40=0,0,IF(AND(Z40=1,$H$3=1),D40*U40,IF($H$3=2,D40,"N/A")))</f>
        <v>0</v>
      </c>
      <c r="F40" s="106" t="n">
        <f aca="false">E40*Y40</f>
        <v>0</v>
      </c>
      <c r="G40" s="118" t="n">
        <f aca="false">VLOOKUP($A40,Table,MATCH(G$4,Curves,0))</f>
        <v>3</v>
      </c>
      <c r="H40" s="119" t="n">
        <f aca="false">G40+$H$7</f>
        <v>3</v>
      </c>
      <c r="I40" s="118" t="n">
        <f aca="false">'Inputs-Summary'!$B$16</f>
        <v>1.85</v>
      </c>
      <c r="J40" s="118" t="n">
        <f aca="false">VLOOKUP($A40,Table,MATCH(J$4,Curves,0))</f>
        <v>5</v>
      </c>
      <c r="K40" s="119" t="n">
        <f aca="false">J40+$K$7</f>
        <v>5</v>
      </c>
      <c r="L40" s="120" t="n">
        <f aca="false">K40</f>
        <v>5</v>
      </c>
      <c r="M40" s="118" t="n">
        <f aca="false">VLOOKUP($A40,Table,MATCH(M$4,Curves,0))</f>
        <v>5</v>
      </c>
      <c r="N40" s="119" t="n">
        <f aca="false">M40+$N$7</f>
        <v>5</v>
      </c>
      <c r="O40" s="120" t="n">
        <f aca="false">N40</f>
        <v>5</v>
      </c>
      <c r="P40" s="109"/>
      <c r="Q40" s="120" t="n">
        <f aca="false">IF($F$3=1,M40+J40+G40,J40+G40)</f>
        <v>8</v>
      </c>
      <c r="R40" s="120" t="n">
        <f aca="false">IF($F$3=1,N40+K40+H40,K40+H40)</f>
        <v>8</v>
      </c>
      <c r="S40" s="120" t="n">
        <f aca="false">IF($F$3=1,O40+L40+I40,L40+I40)</f>
        <v>6.85</v>
      </c>
      <c r="T40" s="121"/>
      <c r="U40" s="67" t="n">
        <f aca="false">A41-A40</f>
        <v>31</v>
      </c>
      <c r="V40" s="122" t="n">
        <f aca="false">CHOOSE(F$3,A41+24,A40)</f>
        <v>38169</v>
      </c>
      <c r="W40" s="67" t="n">
        <f aca="false">V40-C$3</f>
        <v>-7757</v>
      </c>
      <c r="X40" s="118" t="n">
        <f aca="false">VLOOKUP($A40,Table,MATCH(X$4,Curves,0))</f>
        <v>2</v>
      </c>
      <c r="Y40" s="123" t="n">
        <f aca="false">1/(1+CHOOSE(F$3,(X41+($K$3/10000))/2,(X40+($K$3/10000))/2))^(2*W40/365.25)</f>
        <v>6112997482320.21</v>
      </c>
      <c r="Z40" s="67" t="n">
        <f aca="false">IF(AND(mthbeg&lt;=A40,mthend&gt;=A40),1,0)</f>
        <v>0</v>
      </c>
      <c r="AA40" s="67" t="n">
        <f aca="false">U40*Z40</f>
        <v>0</v>
      </c>
      <c r="AC40" s="110" t="n">
        <f aca="false">F40*(H40-I40)</f>
        <v>0</v>
      </c>
      <c r="AD40" s="49"/>
      <c r="AE40" s="124"/>
    </row>
    <row r="41" customFormat="false" ht="12.75" hidden="false" customHeight="false" outlineLevel="0" collapsed="false">
      <c r="A41" s="115" t="n">
        <f aca="false">EDATE(A40,1)</f>
        <v>38200</v>
      </c>
      <c r="B41" s="116" t="n">
        <f aca="false">'Inputs-Summary'!$B$7</f>
        <v>3017157.21662952</v>
      </c>
      <c r="C41" s="57"/>
      <c r="D41" s="117" t="n">
        <f aca="false">B41+C41</f>
        <v>3017157.21662952</v>
      </c>
      <c r="E41" s="106" t="n">
        <f aca="false">IF(Z41=0,0,IF(AND(Z41=1,$H$3=1),D41*U41,IF($H$3=2,D41,"N/A")))</f>
        <v>0</v>
      </c>
      <c r="F41" s="106" t="n">
        <f aca="false">E41*Y41</f>
        <v>0</v>
      </c>
      <c r="G41" s="118" t="n">
        <f aca="false">VLOOKUP($A41,Table,MATCH(G$4,Curves,0))</f>
        <v>3</v>
      </c>
      <c r="H41" s="119" t="n">
        <f aca="false">G41+$H$7</f>
        <v>3</v>
      </c>
      <c r="I41" s="118" t="n">
        <f aca="false">'Inputs-Summary'!$B$16</f>
        <v>1.85</v>
      </c>
      <c r="J41" s="118" t="n">
        <f aca="false">VLOOKUP($A41,Table,MATCH(J$4,Curves,0))</f>
        <v>5</v>
      </c>
      <c r="K41" s="119" t="n">
        <f aca="false">J41+$K$7</f>
        <v>5</v>
      </c>
      <c r="L41" s="120" t="n">
        <f aca="false">K41</f>
        <v>5</v>
      </c>
      <c r="M41" s="118" t="n">
        <f aca="false">VLOOKUP($A41,Table,MATCH(M$4,Curves,0))</f>
        <v>5</v>
      </c>
      <c r="N41" s="119" t="n">
        <f aca="false">M41+$N$7</f>
        <v>5</v>
      </c>
      <c r="O41" s="120" t="n">
        <f aca="false">N41</f>
        <v>5</v>
      </c>
      <c r="P41" s="109"/>
      <c r="Q41" s="120" t="n">
        <f aca="false">IF($F$3=1,M41+J41+G41,J41+G41)</f>
        <v>8</v>
      </c>
      <c r="R41" s="120" t="n">
        <f aca="false">IF($F$3=1,N41+K41+H41,K41+H41)</f>
        <v>8</v>
      </c>
      <c r="S41" s="120" t="n">
        <f aca="false">IF($F$3=1,O41+L41+I41,L41+I41)</f>
        <v>6.85</v>
      </c>
      <c r="T41" s="121"/>
      <c r="U41" s="67" t="n">
        <f aca="false">A42-A41</f>
        <v>31</v>
      </c>
      <c r="V41" s="122" t="n">
        <f aca="false">CHOOSE(F$3,A42+24,A41)</f>
        <v>38200</v>
      </c>
      <c r="W41" s="67" t="n">
        <f aca="false">V41-C$3</f>
        <v>-7726</v>
      </c>
      <c r="X41" s="118" t="n">
        <f aca="false">VLOOKUP($A41,Table,MATCH(X$4,Curves,0))</f>
        <v>2</v>
      </c>
      <c r="Y41" s="123" t="n">
        <f aca="false">1/(1+CHOOSE(F$3,(X42+($K$3/10000))/2,(X41+($K$3/10000))/2))^(2*W41/365.25)</f>
        <v>5434446953165.75</v>
      </c>
      <c r="Z41" s="67" t="n">
        <f aca="false">IF(AND(mthbeg&lt;=A41,mthend&gt;=A41),1,0)</f>
        <v>0</v>
      </c>
      <c r="AA41" s="67" t="n">
        <f aca="false">U41*Z41</f>
        <v>0</v>
      </c>
      <c r="AC41" s="110" t="n">
        <f aca="false">F41*(H41-I41)</f>
        <v>0</v>
      </c>
      <c r="AD41" s="49"/>
      <c r="AE41" s="124"/>
    </row>
    <row r="42" customFormat="false" ht="12.75" hidden="false" customHeight="false" outlineLevel="0" collapsed="false">
      <c r="A42" s="115" t="n">
        <f aca="false">EDATE(A41,1)</f>
        <v>38231</v>
      </c>
      <c r="B42" s="116" t="n">
        <f aca="false">'Inputs-Summary'!$B$7</f>
        <v>3017157.21662952</v>
      </c>
      <c r="C42" s="57"/>
      <c r="D42" s="117" t="n">
        <f aca="false">B42+C42</f>
        <v>3017157.21662952</v>
      </c>
      <c r="E42" s="106" t="n">
        <f aca="false">IF(Z42=0,0,IF(AND(Z42=1,$H$3=1),D42*U42,IF($H$3=2,D42,"N/A")))</f>
        <v>0</v>
      </c>
      <c r="F42" s="106" t="n">
        <f aca="false">E42*Y42</f>
        <v>0</v>
      </c>
      <c r="G42" s="118" t="n">
        <f aca="false">VLOOKUP($A42,Table,MATCH(G$4,Curves,0))</f>
        <v>3</v>
      </c>
      <c r="H42" s="119" t="n">
        <f aca="false">G42+$H$7</f>
        <v>3</v>
      </c>
      <c r="I42" s="118" t="n">
        <f aca="false">'Inputs-Summary'!$B$16</f>
        <v>1.85</v>
      </c>
      <c r="J42" s="118" t="n">
        <f aca="false">VLOOKUP($A42,Table,MATCH(J$4,Curves,0))</f>
        <v>5</v>
      </c>
      <c r="K42" s="119" t="n">
        <f aca="false">J42+$K$7</f>
        <v>5</v>
      </c>
      <c r="L42" s="120" t="n">
        <f aca="false">K42</f>
        <v>5</v>
      </c>
      <c r="M42" s="118" t="n">
        <f aca="false">VLOOKUP($A42,Table,MATCH(M$4,Curves,0))</f>
        <v>5</v>
      </c>
      <c r="N42" s="119" t="n">
        <f aca="false">M42+$N$7</f>
        <v>5</v>
      </c>
      <c r="O42" s="120" t="n">
        <f aca="false">N42</f>
        <v>5</v>
      </c>
      <c r="P42" s="109"/>
      <c r="Q42" s="120" t="n">
        <f aca="false">IF($F$3=1,M42+J42+G42,J42+G42)</f>
        <v>8</v>
      </c>
      <c r="R42" s="120" t="n">
        <f aca="false">IF($F$3=1,N42+K42+H42,K42+H42)</f>
        <v>8</v>
      </c>
      <c r="S42" s="120" t="n">
        <f aca="false">IF($F$3=1,O42+L42+I42,L42+I42)</f>
        <v>6.85</v>
      </c>
      <c r="T42" s="121"/>
      <c r="U42" s="67" t="n">
        <f aca="false">A43-A42</f>
        <v>30</v>
      </c>
      <c r="V42" s="122" t="n">
        <f aca="false">CHOOSE(F$3,A43+24,A42)</f>
        <v>38231</v>
      </c>
      <c r="W42" s="67" t="n">
        <f aca="false">V42-C$3</f>
        <v>-7695</v>
      </c>
      <c r="X42" s="118" t="n">
        <f aca="false">VLOOKUP($A42,Table,MATCH(X$4,Curves,0))</f>
        <v>2</v>
      </c>
      <c r="Y42" s="123" t="n">
        <f aca="false">1/(1+CHOOSE(F$3,(X43+($K$3/10000))/2,(X42+($K$3/10000))/2))^(2*W42/365.25)</f>
        <v>4831216399513.89</v>
      </c>
      <c r="Z42" s="67" t="n">
        <f aca="false">IF(AND(mthbeg&lt;=A42,mthend&gt;=A42),1,0)</f>
        <v>0</v>
      </c>
      <c r="AA42" s="67" t="n">
        <f aca="false">U42*Z42</f>
        <v>0</v>
      </c>
      <c r="AC42" s="110" t="n">
        <f aca="false">F42*(H42-I42)</f>
        <v>0</v>
      </c>
      <c r="AD42" s="49"/>
      <c r="AE42" s="124"/>
    </row>
    <row r="43" customFormat="false" ht="12.75" hidden="false" customHeight="false" outlineLevel="0" collapsed="false">
      <c r="A43" s="115" t="n">
        <f aca="false">EDATE(A42,1)</f>
        <v>38261</v>
      </c>
      <c r="B43" s="116" t="n">
        <f aca="false">'Inputs-Summary'!$B$7</f>
        <v>3017157.21662952</v>
      </c>
      <c r="C43" s="57"/>
      <c r="D43" s="117" t="n">
        <f aca="false">B43+C43</f>
        <v>3017157.21662952</v>
      </c>
      <c r="E43" s="106" t="n">
        <f aca="false">IF(Z43=0,0,IF(AND(Z43=1,$H$3=1),D43*U43,IF($H$3=2,D43,"N/A")))</f>
        <v>0</v>
      </c>
      <c r="F43" s="106" t="n">
        <f aca="false">E43*Y43</f>
        <v>0</v>
      </c>
      <c r="G43" s="118" t="n">
        <f aca="false">VLOOKUP($A43,Table,MATCH(G$4,Curves,0))</f>
        <v>3</v>
      </c>
      <c r="H43" s="119" t="n">
        <f aca="false">G43+$H$7</f>
        <v>3</v>
      </c>
      <c r="I43" s="118" t="n">
        <f aca="false">'Inputs-Summary'!$B$16</f>
        <v>1.85</v>
      </c>
      <c r="J43" s="118" t="n">
        <f aca="false">VLOOKUP($A43,Table,MATCH(J$4,Curves,0))</f>
        <v>5</v>
      </c>
      <c r="K43" s="119" t="n">
        <f aca="false">J43+$K$7</f>
        <v>5</v>
      </c>
      <c r="L43" s="120" t="n">
        <f aca="false">K43</f>
        <v>5</v>
      </c>
      <c r="M43" s="118" t="n">
        <f aca="false">VLOOKUP($A43,Table,MATCH(M$4,Curves,0))</f>
        <v>5</v>
      </c>
      <c r="N43" s="119" t="n">
        <f aca="false">M43+$N$7</f>
        <v>5</v>
      </c>
      <c r="O43" s="120" t="n">
        <f aca="false">N43</f>
        <v>5</v>
      </c>
      <c r="P43" s="109"/>
      <c r="Q43" s="120" t="n">
        <f aca="false">IF($F$3=1,M43+J43+G43,J43+G43)</f>
        <v>8</v>
      </c>
      <c r="R43" s="120" t="n">
        <f aca="false">IF($F$3=1,N43+K43+H43,K43+H43)</f>
        <v>8</v>
      </c>
      <c r="S43" s="120" t="n">
        <f aca="false">IF($F$3=1,O43+L43+I43,L43+I43)</f>
        <v>6.85</v>
      </c>
      <c r="T43" s="121"/>
      <c r="U43" s="67" t="n">
        <f aca="false">A44-A43</f>
        <v>31</v>
      </c>
      <c r="V43" s="122" t="n">
        <f aca="false">CHOOSE(F$3,A44+24,A43)</f>
        <v>38261</v>
      </c>
      <c r="W43" s="67" t="n">
        <f aca="false">V43-C$3</f>
        <v>-7665</v>
      </c>
      <c r="X43" s="118" t="n">
        <f aca="false">VLOOKUP($A43,Table,MATCH(X$4,Curves,0))</f>
        <v>2</v>
      </c>
      <c r="Y43" s="123" t="n">
        <f aca="false">1/(1+CHOOSE(F$3,(X44+($K$3/10000))/2,(X43+($K$3/10000))/2))^(2*W43/365.25)</f>
        <v>4311277505881.49</v>
      </c>
      <c r="Z43" s="67" t="n">
        <f aca="false">IF(AND(mthbeg&lt;=A43,mthend&gt;=A43),1,0)</f>
        <v>0</v>
      </c>
      <c r="AA43" s="67" t="n">
        <f aca="false">U43*Z43</f>
        <v>0</v>
      </c>
      <c r="AC43" s="110" t="n">
        <f aca="false">F43*(H43-I43)</f>
        <v>0</v>
      </c>
      <c r="AD43" s="49"/>
      <c r="AE43" s="124"/>
    </row>
    <row r="44" customFormat="false" ht="12.75" hidden="false" customHeight="false" outlineLevel="0" collapsed="false">
      <c r="A44" s="115" t="n">
        <f aca="false">EDATE(A43,1)</f>
        <v>38292</v>
      </c>
      <c r="B44" s="116" t="n">
        <f aca="false">'Inputs-Summary'!$B$7</f>
        <v>3017157.21662952</v>
      </c>
      <c r="C44" s="57"/>
      <c r="D44" s="117" t="n">
        <f aca="false">B44+C44</f>
        <v>3017157.21662952</v>
      </c>
      <c r="E44" s="106" t="n">
        <f aca="false">IF(Z44=0,0,IF(AND(Z44=1,$H$3=1),D44*U44,IF($H$3=2,D44,"N/A")))</f>
        <v>0</v>
      </c>
      <c r="F44" s="106" t="n">
        <f aca="false">E44*Y44</f>
        <v>0</v>
      </c>
      <c r="G44" s="118" t="n">
        <f aca="false">VLOOKUP($A44,Table,MATCH(G$4,Curves,0))</f>
        <v>3</v>
      </c>
      <c r="H44" s="119" t="n">
        <f aca="false">G44+$H$7</f>
        <v>3</v>
      </c>
      <c r="I44" s="118" t="n">
        <f aca="false">'Inputs-Summary'!$B$16</f>
        <v>1.85</v>
      </c>
      <c r="J44" s="118" t="n">
        <f aca="false">VLOOKUP($A44,Table,MATCH(J$4,Curves,0))</f>
        <v>5</v>
      </c>
      <c r="K44" s="119" t="n">
        <f aca="false">J44+$K$7</f>
        <v>5</v>
      </c>
      <c r="L44" s="120" t="n">
        <f aca="false">K44</f>
        <v>5</v>
      </c>
      <c r="M44" s="118" t="n">
        <f aca="false">VLOOKUP($A44,Table,MATCH(M$4,Curves,0))</f>
        <v>5</v>
      </c>
      <c r="N44" s="119" t="n">
        <f aca="false">M44+$N$7</f>
        <v>5</v>
      </c>
      <c r="O44" s="120" t="n">
        <f aca="false">N44</f>
        <v>5</v>
      </c>
      <c r="P44" s="109"/>
      <c r="Q44" s="120" t="n">
        <f aca="false">IF($F$3=1,M44+J44+G44,J44+G44)</f>
        <v>8</v>
      </c>
      <c r="R44" s="120" t="n">
        <f aca="false">IF($F$3=1,N44+K44+H44,K44+H44)</f>
        <v>8</v>
      </c>
      <c r="S44" s="120" t="n">
        <f aca="false">IF($F$3=1,O44+L44+I44,L44+I44)</f>
        <v>6.85</v>
      </c>
      <c r="T44" s="121"/>
      <c r="U44" s="67" t="n">
        <f aca="false">A45-A44</f>
        <v>30</v>
      </c>
      <c r="V44" s="122" t="n">
        <f aca="false">CHOOSE(F$3,A45+24,A44)</f>
        <v>38292</v>
      </c>
      <c r="W44" s="67" t="n">
        <f aca="false">V44-C$3</f>
        <v>-7634</v>
      </c>
      <c r="X44" s="118" t="n">
        <f aca="false">VLOOKUP($A44,Table,MATCH(X$4,Curves,0))</f>
        <v>2</v>
      </c>
      <c r="Y44" s="123" t="n">
        <f aca="false">1/(1+CHOOSE(F$3,(X45+($K$3/10000))/2,(X44+($K$3/10000))/2))^(2*W44/365.25)</f>
        <v>3832720195591.67</v>
      </c>
      <c r="Z44" s="67" t="n">
        <f aca="false">IF(AND(mthbeg&lt;=A44,mthend&gt;=A44),1,0)</f>
        <v>0</v>
      </c>
      <c r="AA44" s="67" t="n">
        <f aca="false">U44*Z44</f>
        <v>0</v>
      </c>
      <c r="AC44" s="110" t="n">
        <f aca="false">F44*(H44-I44)</f>
        <v>0</v>
      </c>
      <c r="AD44" s="49"/>
      <c r="AE44" s="124"/>
    </row>
    <row r="45" customFormat="false" ht="12.75" hidden="false" customHeight="false" outlineLevel="0" collapsed="false">
      <c r="A45" s="115" t="n">
        <f aca="false">EDATE(A44,1)</f>
        <v>38322</v>
      </c>
      <c r="B45" s="116" t="n">
        <f aca="false">'Inputs-Summary'!$B$7</f>
        <v>3017157.21662952</v>
      </c>
      <c r="C45" s="57"/>
      <c r="D45" s="117" t="n">
        <f aca="false">B45+C45</f>
        <v>3017157.21662952</v>
      </c>
      <c r="E45" s="106" t="n">
        <f aca="false">IF(Z45=0,0,IF(AND(Z45=1,$H$3=1),D45*U45,IF($H$3=2,D45,"N/A")))</f>
        <v>0</v>
      </c>
      <c r="F45" s="106" t="n">
        <f aca="false">E45*Y45</f>
        <v>0</v>
      </c>
      <c r="G45" s="118" t="n">
        <f aca="false">VLOOKUP($A45,Table,MATCH(G$4,Curves,0))</f>
        <v>3</v>
      </c>
      <c r="H45" s="119" t="n">
        <f aca="false">G45+$H$7</f>
        <v>3</v>
      </c>
      <c r="I45" s="118" t="n">
        <f aca="false">'Inputs-Summary'!$B$16</f>
        <v>1.85</v>
      </c>
      <c r="J45" s="118" t="n">
        <f aca="false">VLOOKUP($A45,Table,MATCH(J$4,Curves,0))</f>
        <v>5</v>
      </c>
      <c r="K45" s="119" t="n">
        <f aca="false">J45+$K$7</f>
        <v>5</v>
      </c>
      <c r="L45" s="120" t="n">
        <f aca="false">K45</f>
        <v>5</v>
      </c>
      <c r="M45" s="118" t="n">
        <f aca="false">VLOOKUP($A45,Table,MATCH(M$4,Curves,0))</f>
        <v>5</v>
      </c>
      <c r="N45" s="119" t="n">
        <f aca="false">M45+$N$7</f>
        <v>5</v>
      </c>
      <c r="O45" s="120" t="n">
        <f aca="false">N45</f>
        <v>5</v>
      </c>
      <c r="P45" s="109"/>
      <c r="Q45" s="120" t="n">
        <f aca="false">IF($F$3=1,M45+J45+G45,J45+G45)</f>
        <v>8</v>
      </c>
      <c r="R45" s="120" t="n">
        <f aca="false">IF($F$3=1,N45+K45+H45,K45+H45)</f>
        <v>8</v>
      </c>
      <c r="S45" s="120" t="n">
        <f aca="false">IF($F$3=1,O45+L45+I45,L45+I45)</f>
        <v>6.85</v>
      </c>
      <c r="T45" s="121"/>
      <c r="U45" s="67" t="n">
        <f aca="false">A46-A45</f>
        <v>31</v>
      </c>
      <c r="V45" s="122" t="n">
        <f aca="false">CHOOSE(F$3,A46+24,A45)</f>
        <v>38322</v>
      </c>
      <c r="W45" s="67" t="n">
        <f aca="false">V45-C$3</f>
        <v>-7604</v>
      </c>
      <c r="X45" s="118" t="n">
        <f aca="false">VLOOKUP($A45,Table,MATCH(X$4,Curves,0))</f>
        <v>2</v>
      </c>
      <c r="Y45" s="123" t="n">
        <f aca="false">1/(1+CHOOSE(F$3,(X46+($K$3/10000))/2,(X45+($K$3/10000))/2))^(2*W45/365.25)</f>
        <v>3420240162964.91</v>
      </c>
      <c r="Z45" s="67" t="n">
        <f aca="false">IF(AND(mthbeg&lt;=A45,mthend&gt;=A45),1,0)</f>
        <v>0</v>
      </c>
      <c r="AA45" s="67" t="n">
        <f aca="false">U45*Z45</f>
        <v>0</v>
      </c>
      <c r="AC45" s="110" t="n">
        <f aca="false">F45*(H45-I45)</f>
        <v>0</v>
      </c>
      <c r="AD45" s="49"/>
      <c r="AE45" s="124"/>
    </row>
    <row r="46" customFormat="false" ht="12.75" hidden="false" customHeight="false" outlineLevel="0" collapsed="false">
      <c r="A46" s="115" t="n">
        <f aca="false">EDATE(A45,1)</f>
        <v>38353</v>
      </c>
      <c r="B46" s="116" t="n">
        <f aca="false">'Inputs-Summary'!$B$7</f>
        <v>3017157.21662952</v>
      </c>
      <c r="C46" s="57"/>
      <c r="D46" s="117" t="n">
        <f aca="false">B46+C46</f>
        <v>3017157.21662952</v>
      </c>
      <c r="E46" s="106" t="n">
        <f aca="false">IF(Z46=0,0,IF(AND(Z46=1,$H$3=1),D46*U46,IF($H$3=2,D46,"N/A")))</f>
        <v>0</v>
      </c>
      <c r="F46" s="106" t="n">
        <f aca="false">E46*Y46</f>
        <v>0</v>
      </c>
      <c r="G46" s="118" t="n">
        <f aca="false">VLOOKUP($A46,Table,MATCH(G$4,Curves,0))</f>
        <v>3</v>
      </c>
      <c r="H46" s="119" t="n">
        <f aca="false">G46+$H$7</f>
        <v>3</v>
      </c>
      <c r="I46" s="118" t="n">
        <f aca="false">'Inputs-Summary'!$B$16</f>
        <v>1.85</v>
      </c>
      <c r="J46" s="118" t="n">
        <f aca="false">VLOOKUP($A46,Table,MATCH(J$4,Curves,0))</f>
        <v>5</v>
      </c>
      <c r="K46" s="119" t="n">
        <f aca="false">J46+$K$7</f>
        <v>5</v>
      </c>
      <c r="L46" s="120" t="n">
        <f aca="false">K46</f>
        <v>5</v>
      </c>
      <c r="M46" s="118" t="n">
        <f aca="false">VLOOKUP($A46,Table,MATCH(M$4,Curves,0))</f>
        <v>5</v>
      </c>
      <c r="N46" s="119" t="n">
        <f aca="false">M46+$N$7</f>
        <v>5</v>
      </c>
      <c r="O46" s="120" t="n">
        <f aca="false">N46</f>
        <v>5</v>
      </c>
      <c r="P46" s="109"/>
      <c r="Q46" s="120" t="n">
        <f aca="false">IF($F$3=1,M46+J46+G46,J46+G46)</f>
        <v>8</v>
      </c>
      <c r="R46" s="120" t="n">
        <f aca="false">IF($F$3=1,N46+K46+H46,K46+H46)</f>
        <v>8</v>
      </c>
      <c r="S46" s="120" t="n">
        <f aca="false">IF($F$3=1,O46+L46+I46,L46+I46)</f>
        <v>6.85</v>
      </c>
      <c r="T46" s="121"/>
      <c r="U46" s="67" t="n">
        <f aca="false">A47-A46</f>
        <v>31</v>
      </c>
      <c r="V46" s="122" t="n">
        <f aca="false">CHOOSE(F$3,A47+24,A46)</f>
        <v>38353</v>
      </c>
      <c r="W46" s="67" t="n">
        <f aca="false">V46-C$3</f>
        <v>-7573</v>
      </c>
      <c r="X46" s="118" t="n">
        <f aca="false">VLOOKUP($A46,Table,MATCH(X$4,Curves,0))</f>
        <v>2</v>
      </c>
      <c r="Y46" s="123" t="n">
        <f aca="false">1/(1+CHOOSE(F$3,(X47+($K$3/10000))/2,(X46+($K$3/10000))/2))^(2*W46/365.25)</f>
        <v>3040589135931.56</v>
      </c>
      <c r="Z46" s="67" t="n">
        <f aca="false">IF(AND(mthbeg&lt;=A46,mthend&gt;=A46),1,0)</f>
        <v>0</v>
      </c>
      <c r="AA46" s="67" t="n">
        <f aca="false">U46*Z46</f>
        <v>0</v>
      </c>
      <c r="AC46" s="110" t="n">
        <f aca="false">F46*(H46-I46)</f>
        <v>0</v>
      </c>
      <c r="AD46" s="49"/>
      <c r="AE46" s="124"/>
    </row>
    <row r="47" customFormat="false" ht="12.75" hidden="false" customHeight="false" outlineLevel="0" collapsed="false">
      <c r="A47" s="115" t="n">
        <f aca="false">EDATE(A46,1)</f>
        <v>38384</v>
      </c>
      <c r="B47" s="116" t="n">
        <f aca="false">'Inputs-Summary'!$B$7</f>
        <v>3017157.21662952</v>
      </c>
      <c r="C47" s="57"/>
      <c r="D47" s="117" t="n">
        <f aca="false">B47+C47</f>
        <v>3017157.21662952</v>
      </c>
      <c r="E47" s="106" t="n">
        <f aca="false">IF(Z47=0,0,IF(AND(Z47=1,$H$3=1),D47*U47,IF($H$3=2,D47,"N/A")))</f>
        <v>0</v>
      </c>
      <c r="F47" s="106" t="n">
        <f aca="false">E47*Y47</f>
        <v>0</v>
      </c>
      <c r="G47" s="118" t="n">
        <f aca="false">VLOOKUP($A47,Table,MATCH(G$4,Curves,0))</f>
        <v>3</v>
      </c>
      <c r="H47" s="119" t="n">
        <f aca="false">G47+$H$7</f>
        <v>3</v>
      </c>
      <c r="I47" s="118" t="n">
        <f aca="false">'Inputs-Summary'!$B$16</f>
        <v>1.85</v>
      </c>
      <c r="J47" s="118" t="n">
        <f aca="false">VLOOKUP($A47,Table,MATCH(J$4,Curves,0))</f>
        <v>5</v>
      </c>
      <c r="K47" s="119" t="n">
        <f aca="false">J47+$K$7</f>
        <v>5</v>
      </c>
      <c r="L47" s="120" t="n">
        <f aca="false">K47</f>
        <v>5</v>
      </c>
      <c r="M47" s="118" t="n">
        <f aca="false">VLOOKUP($A47,Table,MATCH(M$4,Curves,0))</f>
        <v>5</v>
      </c>
      <c r="N47" s="119" t="n">
        <f aca="false">M47+$N$7</f>
        <v>5</v>
      </c>
      <c r="O47" s="120" t="n">
        <f aca="false">N47</f>
        <v>5</v>
      </c>
      <c r="P47" s="109"/>
      <c r="Q47" s="120" t="n">
        <f aca="false">IF($F$3=1,M47+J47+G47,J47+G47)</f>
        <v>8</v>
      </c>
      <c r="R47" s="120" t="n">
        <f aca="false">IF($F$3=1,N47+K47+H47,K47+H47)</f>
        <v>8</v>
      </c>
      <c r="S47" s="120" t="n">
        <f aca="false">IF($F$3=1,O47+L47+I47,L47+I47)</f>
        <v>6.85</v>
      </c>
      <c r="T47" s="121"/>
      <c r="U47" s="67" t="n">
        <f aca="false">A48-A47</f>
        <v>28</v>
      </c>
      <c r="V47" s="122" t="n">
        <f aca="false">CHOOSE(F$3,A48+24,A47)</f>
        <v>38384</v>
      </c>
      <c r="W47" s="67" t="n">
        <f aca="false">V47-C$3</f>
        <v>-7542</v>
      </c>
      <c r="X47" s="118" t="n">
        <f aca="false">VLOOKUP($A47,Table,MATCH(X$4,Curves,0))</f>
        <v>2</v>
      </c>
      <c r="Y47" s="123" t="n">
        <f aca="false">1/(1+CHOOSE(F$3,(X48+($K$3/10000))/2,(X47+($K$3/10000))/2))^(2*W47/365.25)</f>
        <v>2703079857857.28</v>
      </c>
      <c r="Z47" s="67" t="n">
        <f aca="false">IF(AND(mthbeg&lt;=A47,mthend&gt;=A47),1,0)</f>
        <v>0</v>
      </c>
      <c r="AA47" s="67" t="n">
        <f aca="false">U47*Z47</f>
        <v>0</v>
      </c>
      <c r="AC47" s="110" t="n">
        <f aca="false">F47*(H47-I47)</f>
        <v>0</v>
      </c>
      <c r="AD47" s="49"/>
      <c r="AE47" s="124"/>
    </row>
    <row r="48" customFormat="false" ht="12.75" hidden="false" customHeight="false" outlineLevel="0" collapsed="false">
      <c r="A48" s="115" t="n">
        <f aca="false">EDATE(A47,1)</f>
        <v>38412</v>
      </c>
      <c r="B48" s="116" t="n">
        <f aca="false">'Inputs-Summary'!$B$7</f>
        <v>3017157.21662952</v>
      </c>
      <c r="C48" s="57"/>
      <c r="D48" s="117" t="n">
        <f aca="false">B48+C48</f>
        <v>3017157.21662952</v>
      </c>
      <c r="E48" s="106" t="n">
        <f aca="false">IF(Z48=0,0,IF(AND(Z48=1,$H$3=1),D48*U48,IF($H$3=2,D48,"N/A")))</f>
        <v>0</v>
      </c>
      <c r="F48" s="106" t="n">
        <f aca="false">E48*Y48</f>
        <v>0</v>
      </c>
      <c r="G48" s="118" t="n">
        <f aca="false">VLOOKUP($A48,Table,MATCH(G$4,Curves,0))</f>
        <v>3</v>
      </c>
      <c r="H48" s="119" t="n">
        <f aca="false">G48+$H$7</f>
        <v>3</v>
      </c>
      <c r="I48" s="118" t="n">
        <f aca="false">'Inputs-Summary'!$B$16</f>
        <v>1.85</v>
      </c>
      <c r="J48" s="118" t="n">
        <f aca="false">VLOOKUP($A48,Table,MATCH(J$4,Curves,0))</f>
        <v>5</v>
      </c>
      <c r="K48" s="119" t="n">
        <f aca="false">J48+$K$7</f>
        <v>5</v>
      </c>
      <c r="L48" s="120" t="n">
        <f aca="false">K48</f>
        <v>5</v>
      </c>
      <c r="M48" s="118" t="n">
        <f aca="false">VLOOKUP($A48,Table,MATCH(M$4,Curves,0))</f>
        <v>5</v>
      </c>
      <c r="N48" s="119" t="n">
        <f aca="false">M48+$N$7</f>
        <v>5</v>
      </c>
      <c r="O48" s="120" t="n">
        <f aca="false">N48</f>
        <v>5</v>
      </c>
      <c r="P48" s="109"/>
      <c r="Q48" s="120" t="n">
        <f aca="false">IF($F$3=1,M48+J48+G48,J48+G48)</f>
        <v>8</v>
      </c>
      <c r="R48" s="120" t="n">
        <f aca="false">IF($F$3=1,N48+K48+H48,K48+H48)</f>
        <v>8</v>
      </c>
      <c r="S48" s="120" t="n">
        <f aca="false">IF($F$3=1,O48+L48+I48,L48+I48)</f>
        <v>6.85</v>
      </c>
      <c r="T48" s="121"/>
      <c r="U48" s="67" t="n">
        <f aca="false">A49-A48</f>
        <v>31</v>
      </c>
      <c r="V48" s="122" t="n">
        <f aca="false">CHOOSE(F$3,A49+24,A48)</f>
        <v>38412</v>
      </c>
      <c r="W48" s="67" t="n">
        <f aca="false">V48-C$3</f>
        <v>-7514</v>
      </c>
      <c r="X48" s="118" t="n">
        <f aca="false">VLOOKUP($A48,Table,MATCH(X$4,Curves,0))</f>
        <v>2</v>
      </c>
      <c r="Y48" s="123" t="n">
        <f aca="false">1/(1+CHOOSE(F$3,(X49+($K$3/10000))/2,(X48+($K$3/10000))/2))^(2*W48/365.25)</f>
        <v>2430552826261.18</v>
      </c>
      <c r="Z48" s="67" t="n">
        <f aca="false">IF(AND(mthbeg&lt;=A48,mthend&gt;=A48),1,0)</f>
        <v>0</v>
      </c>
      <c r="AA48" s="67" t="n">
        <f aca="false">U48*Z48</f>
        <v>0</v>
      </c>
      <c r="AC48" s="110" t="n">
        <f aca="false">F48*(H48-I48)</f>
        <v>0</v>
      </c>
      <c r="AD48" s="49"/>
      <c r="AE48" s="124"/>
    </row>
    <row r="49" customFormat="false" ht="12.75" hidden="false" customHeight="false" outlineLevel="0" collapsed="false">
      <c r="A49" s="115" t="n">
        <f aca="false">EDATE(A48,1)</f>
        <v>38443</v>
      </c>
      <c r="B49" s="116" t="n">
        <f aca="false">'Inputs-Summary'!$B$7</f>
        <v>3017157.21662952</v>
      </c>
      <c r="C49" s="57"/>
      <c r="D49" s="117" t="n">
        <f aca="false">B49+C49</f>
        <v>3017157.21662952</v>
      </c>
      <c r="E49" s="106" t="n">
        <f aca="false">IF(Z49=0,0,IF(AND(Z49=1,$H$3=1),D49*U49,IF($H$3=2,D49,"N/A")))</f>
        <v>0</v>
      </c>
      <c r="F49" s="106" t="n">
        <f aca="false">E49*Y49</f>
        <v>0</v>
      </c>
      <c r="G49" s="118" t="n">
        <f aca="false">VLOOKUP($A49,Table,MATCH(G$4,Curves,0))</f>
        <v>3</v>
      </c>
      <c r="H49" s="119" t="n">
        <f aca="false">G49+$H$7</f>
        <v>3</v>
      </c>
      <c r="I49" s="118" t="n">
        <f aca="false">'Inputs-Summary'!$B$16</f>
        <v>1.85</v>
      </c>
      <c r="J49" s="118" t="n">
        <f aca="false">VLOOKUP($A49,Table,MATCH(J$4,Curves,0))</f>
        <v>5</v>
      </c>
      <c r="K49" s="119" t="n">
        <f aca="false">J49+$K$7</f>
        <v>5</v>
      </c>
      <c r="L49" s="120" t="n">
        <f aca="false">K49</f>
        <v>5</v>
      </c>
      <c r="M49" s="118" t="n">
        <f aca="false">VLOOKUP($A49,Table,MATCH(M$4,Curves,0))</f>
        <v>5</v>
      </c>
      <c r="N49" s="119" t="n">
        <f aca="false">M49+$N$7</f>
        <v>5</v>
      </c>
      <c r="O49" s="120" t="n">
        <f aca="false">N49</f>
        <v>5</v>
      </c>
      <c r="P49" s="109"/>
      <c r="Q49" s="120" t="n">
        <f aca="false">IF($F$3=1,M49+J49+G49,J49+G49)</f>
        <v>8</v>
      </c>
      <c r="R49" s="120" t="n">
        <f aca="false">IF($F$3=1,N49+K49+H49,K49+H49)</f>
        <v>8</v>
      </c>
      <c r="S49" s="120" t="n">
        <f aca="false">IF($F$3=1,O49+L49+I49,L49+I49)</f>
        <v>6.85</v>
      </c>
      <c r="T49" s="121"/>
      <c r="U49" s="67" t="n">
        <f aca="false">A50-A49</f>
        <v>30</v>
      </c>
      <c r="V49" s="122" t="n">
        <f aca="false">CHOOSE(F$3,A50+24,A49)</f>
        <v>38443</v>
      </c>
      <c r="W49" s="67" t="n">
        <f aca="false">V49-C$3</f>
        <v>-7483</v>
      </c>
      <c r="X49" s="118" t="n">
        <f aca="false">VLOOKUP($A49,Table,MATCH(X$4,Curves,0))</f>
        <v>2</v>
      </c>
      <c r="Y49" s="123" t="n">
        <f aca="false">1/(1+CHOOSE(F$3,(X50+($K$3/10000))/2,(X49+($K$3/10000))/2))^(2*W49/365.25)</f>
        <v>2160758357808.13</v>
      </c>
      <c r="Z49" s="67" t="n">
        <f aca="false">IF(AND(mthbeg&lt;=A49,mthend&gt;=A49),1,0)</f>
        <v>0</v>
      </c>
      <c r="AA49" s="67" t="n">
        <f aca="false">U49*Z49</f>
        <v>0</v>
      </c>
      <c r="AC49" s="110" t="n">
        <f aca="false">F49*(H49-I49)</f>
        <v>0</v>
      </c>
      <c r="AD49" s="49"/>
      <c r="AE49" s="124"/>
    </row>
    <row r="50" customFormat="false" ht="12.75" hidden="false" customHeight="false" outlineLevel="0" collapsed="false">
      <c r="A50" s="115" t="n">
        <f aca="false">EDATE(A49,1)</f>
        <v>38473</v>
      </c>
      <c r="B50" s="116" t="n">
        <f aca="false">'Inputs-Summary'!$B$7</f>
        <v>3017157.21662952</v>
      </c>
      <c r="C50" s="57"/>
      <c r="D50" s="117" t="n">
        <f aca="false">B50+C50</f>
        <v>3017157.21662952</v>
      </c>
      <c r="E50" s="106" t="n">
        <f aca="false">IF(Z50=0,0,IF(AND(Z50=1,$H$3=1),D50*U50,IF($H$3=2,D50,"N/A")))</f>
        <v>0</v>
      </c>
      <c r="F50" s="106" t="n">
        <f aca="false">E50*Y50</f>
        <v>0</v>
      </c>
      <c r="G50" s="118" t="n">
        <f aca="false">VLOOKUP($A50,Table,MATCH(G$4,Curves,0))</f>
        <v>3</v>
      </c>
      <c r="H50" s="119" t="n">
        <f aca="false">G50+$H$7</f>
        <v>3</v>
      </c>
      <c r="I50" s="118" t="n">
        <f aca="false">'Inputs-Summary'!$B$16</f>
        <v>1.85</v>
      </c>
      <c r="J50" s="118" t="n">
        <f aca="false">VLOOKUP($A50,Table,MATCH(J$4,Curves,0))</f>
        <v>5</v>
      </c>
      <c r="K50" s="119" t="n">
        <f aca="false">J50+$K$7</f>
        <v>5</v>
      </c>
      <c r="L50" s="120" t="n">
        <f aca="false">K50</f>
        <v>5</v>
      </c>
      <c r="M50" s="118" t="n">
        <f aca="false">VLOOKUP($A50,Table,MATCH(M$4,Curves,0))</f>
        <v>5</v>
      </c>
      <c r="N50" s="119" t="n">
        <f aca="false">M50+$N$7</f>
        <v>5</v>
      </c>
      <c r="O50" s="120" t="n">
        <f aca="false">N50</f>
        <v>5</v>
      </c>
      <c r="P50" s="109"/>
      <c r="Q50" s="120" t="n">
        <f aca="false">IF($F$3=1,M50+J50+G50,J50+G50)</f>
        <v>8</v>
      </c>
      <c r="R50" s="120" t="n">
        <f aca="false">IF($F$3=1,N50+K50+H50,K50+H50)</f>
        <v>8</v>
      </c>
      <c r="S50" s="120" t="n">
        <f aca="false">IF($F$3=1,O50+L50+I50,L50+I50)</f>
        <v>6.85</v>
      </c>
      <c r="T50" s="121"/>
      <c r="U50" s="67" t="n">
        <f aca="false">A51-A50</f>
        <v>31</v>
      </c>
      <c r="V50" s="122" t="n">
        <f aca="false">CHOOSE(F$3,A51+24,A50)</f>
        <v>38473</v>
      </c>
      <c r="W50" s="67" t="n">
        <f aca="false">V50-C$3</f>
        <v>-7453</v>
      </c>
      <c r="X50" s="118" t="n">
        <f aca="false">VLOOKUP($A50,Table,MATCH(X$4,Curves,0))</f>
        <v>2</v>
      </c>
      <c r="Y50" s="123" t="n">
        <f aca="false">1/(1+CHOOSE(F$3,(X51+($K$3/10000))/2,(X50+($K$3/10000))/2))^(2*W50/365.25)</f>
        <v>1928216029528.49</v>
      </c>
      <c r="Z50" s="67" t="n">
        <f aca="false">IF(AND(mthbeg&lt;=A50,mthend&gt;=A50),1,0)</f>
        <v>0</v>
      </c>
      <c r="AA50" s="67" t="n">
        <f aca="false">U50*Z50</f>
        <v>0</v>
      </c>
      <c r="AC50" s="110" t="n">
        <f aca="false">F50*(H50-I50)</f>
        <v>0</v>
      </c>
      <c r="AD50" s="49"/>
      <c r="AE50" s="124"/>
    </row>
    <row r="51" customFormat="false" ht="12.75" hidden="false" customHeight="false" outlineLevel="0" collapsed="false">
      <c r="A51" s="115" t="n">
        <f aca="false">EDATE(A50,1)</f>
        <v>38504</v>
      </c>
      <c r="B51" s="116" t="n">
        <f aca="false">'Inputs-Summary'!$B$7</f>
        <v>3017157.21662952</v>
      </c>
      <c r="C51" s="57"/>
      <c r="D51" s="117" t="n">
        <f aca="false">B51+C51</f>
        <v>3017157.21662952</v>
      </c>
      <c r="E51" s="106" t="n">
        <f aca="false">IF(Z51=0,0,IF(AND(Z51=1,$H$3=1),D51*U51,IF($H$3=2,D51,"N/A")))</f>
        <v>0</v>
      </c>
      <c r="F51" s="106" t="n">
        <f aca="false">E51*Y51</f>
        <v>0</v>
      </c>
      <c r="G51" s="118" t="n">
        <f aca="false">VLOOKUP($A51,Table,MATCH(G$4,Curves,0))</f>
        <v>3</v>
      </c>
      <c r="H51" s="119" t="n">
        <f aca="false">G51+$H$7</f>
        <v>3</v>
      </c>
      <c r="I51" s="118" t="n">
        <f aca="false">'Inputs-Summary'!$B$16</f>
        <v>1.85</v>
      </c>
      <c r="J51" s="118" t="n">
        <f aca="false">VLOOKUP($A51,Table,MATCH(J$4,Curves,0))</f>
        <v>5</v>
      </c>
      <c r="K51" s="119" t="n">
        <f aca="false">J51+$K$7</f>
        <v>5</v>
      </c>
      <c r="L51" s="120" t="n">
        <f aca="false">K51</f>
        <v>5</v>
      </c>
      <c r="M51" s="118" t="n">
        <f aca="false">VLOOKUP($A51,Table,MATCH(M$4,Curves,0))</f>
        <v>5</v>
      </c>
      <c r="N51" s="119" t="n">
        <f aca="false">M51+$N$7</f>
        <v>5</v>
      </c>
      <c r="O51" s="120" t="n">
        <f aca="false">N51</f>
        <v>5</v>
      </c>
      <c r="P51" s="109"/>
      <c r="Q51" s="120" t="n">
        <f aca="false">IF($F$3=1,M51+J51+G51,J51+G51)</f>
        <v>8</v>
      </c>
      <c r="R51" s="120" t="n">
        <f aca="false">IF($F$3=1,N51+K51+H51,K51+H51)</f>
        <v>8</v>
      </c>
      <c r="S51" s="120" t="n">
        <f aca="false">IF($F$3=1,O51+L51+I51,L51+I51)</f>
        <v>6.85</v>
      </c>
      <c r="T51" s="121"/>
      <c r="U51" s="67" t="n">
        <f aca="false">A52-A51</f>
        <v>30</v>
      </c>
      <c r="V51" s="122" t="n">
        <f aca="false">CHOOSE(F$3,A52+24,A51)</f>
        <v>38504</v>
      </c>
      <c r="W51" s="67" t="n">
        <f aca="false">V51-C$3</f>
        <v>-7422</v>
      </c>
      <c r="X51" s="118" t="n">
        <f aca="false">VLOOKUP($A51,Table,MATCH(X$4,Curves,0))</f>
        <v>2</v>
      </c>
      <c r="Y51" s="123" t="n">
        <f aca="false">1/(1+CHOOSE(F$3,(X52+($K$3/10000))/2,(X51+($K$3/10000))/2))^(2*W51/365.25)</f>
        <v>1714181587187.44</v>
      </c>
      <c r="Z51" s="67" t="n">
        <f aca="false">IF(AND(mthbeg&lt;=A51,mthend&gt;=A51),1,0)</f>
        <v>0</v>
      </c>
      <c r="AA51" s="67" t="n">
        <f aca="false">U51*Z51</f>
        <v>0</v>
      </c>
      <c r="AC51" s="110" t="n">
        <f aca="false">F51*(H51-I51)</f>
        <v>0</v>
      </c>
      <c r="AD51" s="49"/>
      <c r="AE51" s="124"/>
    </row>
    <row r="52" customFormat="false" ht="12.75" hidden="false" customHeight="false" outlineLevel="0" collapsed="false">
      <c r="A52" s="115" t="n">
        <f aca="false">EDATE(A51,1)</f>
        <v>38534</v>
      </c>
      <c r="B52" s="116" t="n">
        <f aca="false">'Inputs-Summary'!$B$7</f>
        <v>3017157.21662952</v>
      </c>
      <c r="C52" s="57"/>
      <c r="D52" s="117" t="n">
        <f aca="false">B52+C52</f>
        <v>3017157.21662952</v>
      </c>
      <c r="E52" s="106" t="n">
        <f aca="false">IF(Z52=0,0,IF(AND(Z52=1,$H$3=1),D52*U52,IF($H$3=2,D52,"N/A")))</f>
        <v>0</v>
      </c>
      <c r="F52" s="106" t="n">
        <f aca="false">E52*Y52</f>
        <v>0</v>
      </c>
      <c r="G52" s="118" t="n">
        <f aca="false">VLOOKUP($A52,Table,MATCH(G$4,Curves,0))</f>
        <v>3</v>
      </c>
      <c r="H52" s="119" t="n">
        <f aca="false">G52+$H$7</f>
        <v>3</v>
      </c>
      <c r="I52" s="118" t="n">
        <f aca="false">'Inputs-Summary'!$B$16</f>
        <v>1.85</v>
      </c>
      <c r="J52" s="118" t="n">
        <f aca="false">VLOOKUP($A52,Table,MATCH(J$4,Curves,0))</f>
        <v>5</v>
      </c>
      <c r="K52" s="119" t="n">
        <f aca="false">J52+$K$7</f>
        <v>5</v>
      </c>
      <c r="L52" s="120" t="n">
        <f aca="false">K52</f>
        <v>5</v>
      </c>
      <c r="M52" s="118" t="n">
        <f aca="false">VLOOKUP($A52,Table,MATCH(M$4,Curves,0))</f>
        <v>5</v>
      </c>
      <c r="N52" s="119" t="n">
        <f aca="false">M52+$N$7</f>
        <v>5</v>
      </c>
      <c r="O52" s="120" t="n">
        <f aca="false">N52</f>
        <v>5</v>
      </c>
      <c r="P52" s="109"/>
      <c r="Q52" s="120" t="n">
        <f aca="false">IF($F$3=1,M52+J52+G52,J52+G52)</f>
        <v>8</v>
      </c>
      <c r="R52" s="120" t="n">
        <f aca="false">IF($F$3=1,N52+K52+H52,K52+H52)</f>
        <v>8</v>
      </c>
      <c r="S52" s="120" t="n">
        <f aca="false">IF($F$3=1,O52+L52+I52,L52+I52)</f>
        <v>6.85</v>
      </c>
      <c r="T52" s="121"/>
      <c r="U52" s="67" t="n">
        <f aca="false">A53-A52</f>
        <v>31</v>
      </c>
      <c r="V52" s="122" t="n">
        <f aca="false">CHOOSE(F$3,A53+24,A52)</f>
        <v>38534</v>
      </c>
      <c r="W52" s="67" t="n">
        <f aca="false">V52-C$3</f>
        <v>-7392</v>
      </c>
      <c r="X52" s="118" t="n">
        <f aca="false">VLOOKUP($A52,Table,MATCH(X$4,Curves,0))</f>
        <v>2</v>
      </c>
      <c r="Y52" s="123" t="n">
        <f aca="false">1/(1+CHOOSE(F$3,(X53+($K$3/10000))/2,(X52+($K$3/10000))/2))^(2*W52/365.25)</f>
        <v>1529700163830.6</v>
      </c>
      <c r="Z52" s="67" t="n">
        <f aca="false">IF(AND(mthbeg&lt;=A52,mthend&gt;=A52),1,0)</f>
        <v>0</v>
      </c>
      <c r="AA52" s="67" t="n">
        <f aca="false">U52*Z52</f>
        <v>0</v>
      </c>
      <c r="AC52" s="110" t="n">
        <f aca="false">F52*(H52-I52)</f>
        <v>0</v>
      </c>
      <c r="AD52" s="49"/>
      <c r="AE52" s="124"/>
    </row>
    <row r="53" customFormat="false" ht="12.75" hidden="false" customHeight="false" outlineLevel="0" collapsed="false">
      <c r="A53" s="115" t="n">
        <f aca="false">EDATE(A52,1)</f>
        <v>38565</v>
      </c>
      <c r="B53" s="116" t="n">
        <f aca="false">'Inputs-Summary'!$B$7</f>
        <v>3017157.21662952</v>
      </c>
      <c r="C53" s="57"/>
      <c r="D53" s="117" t="n">
        <f aca="false">B53+C53</f>
        <v>3017157.21662952</v>
      </c>
      <c r="E53" s="106" t="n">
        <f aca="false">IF(Z53=0,0,IF(AND(Z53=1,$H$3=1),D53*U53,IF($H$3=2,D53,"N/A")))</f>
        <v>0</v>
      </c>
      <c r="F53" s="106" t="n">
        <f aca="false">E53*Y53</f>
        <v>0</v>
      </c>
      <c r="G53" s="118" t="n">
        <f aca="false">VLOOKUP($A53,Table,MATCH(G$4,Curves,0))</f>
        <v>3</v>
      </c>
      <c r="H53" s="119" t="n">
        <f aca="false">G53+$H$7</f>
        <v>3</v>
      </c>
      <c r="I53" s="118" t="n">
        <f aca="false">'Inputs-Summary'!$B$16</f>
        <v>1.85</v>
      </c>
      <c r="J53" s="118" t="n">
        <f aca="false">VLOOKUP($A53,Table,MATCH(J$4,Curves,0))</f>
        <v>5</v>
      </c>
      <c r="K53" s="119" t="n">
        <f aca="false">J53+$K$7</f>
        <v>5</v>
      </c>
      <c r="L53" s="120" t="n">
        <f aca="false">K53</f>
        <v>5</v>
      </c>
      <c r="M53" s="118" t="n">
        <f aca="false">VLOOKUP($A53,Table,MATCH(M$4,Curves,0))</f>
        <v>5</v>
      </c>
      <c r="N53" s="119" t="n">
        <f aca="false">M53+$N$7</f>
        <v>5</v>
      </c>
      <c r="O53" s="120" t="n">
        <f aca="false">N53</f>
        <v>5</v>
      </c>
      <c r="P53" s="109"/>
      <c r="Q53" s="120" t="n">
        <f aca="false">IF($F$3=1,M53+J53+G53,J53+G53)</f>
        <v>8</v>
      </c>
      <c r="R53" s="120" t="n">
        <f aca="false">IF($F$3=1,N53+K53+H53,K53+H53)</f>
        <v>8</v>
      </c>
      <c r="S53" s="120" t="n">
        <f aca="false">IF($F$3=1,O53+L53+I53,L53+I53)</f>
        <v>6.85</v>
      </c>
      <c r="T53" s="121"/>
      <c r="U53" s="67" t="n">
        <f aca="false">A54-A53</f>
        <v>31</v>
      </c>
      <c r="V53" s="122" t="n">
        <f aca="false">CHOOSE(F$3,A54+24,A53)</f>
        <v>38565</v>
      </c>
      <c r="W53" s="67" t="n">
        <f aca="false">V53-C$3</f>
        <v>-7361</v>
      </c>
      <c r="X53" s="118" t="n">
        <f aca="false">VLOOKUP($A53,Table,MATCH(X$4,Curves,0))</f>
        <v>2</v>
      </c>
      <c r="Y53" s="123" t="n">
        <f aca="false">1/(1+CHOOSE(F$3,(X54+($K$3/10000))/2,(X53+($K$3/10000))/2))^(2*W53/365.25)</f>
        <v>1359901491637.96</v>
      </c>
      <c r="Z53" s="67" t="n">
        <f aca="false">IF(AND(mthbeg&lt;=A53,mthend&gt;=A53),1,0)</f>
        <v>0</v>
      </c>
      <c r="AA53" s="67" t="n">
        <f aca="false">U53*Z53</f>
        <v>0</v>
      </c>
      <c r="AC53" s="110" t="n">
        <f aca="false">F53*(H53-I53)</f>
        <v>0</v>
      </c>
      <c r="AD53" s="49"/>
      <c r="AE53" s="124"/>
    </row>
    <row r="54" customFormat="false" ht="12.75" hidden="false" customHeight="false" outlineLevel="0" collapsed="false">
      <c r="A54" s="115" t="n">
        <f aca="false">EDATE(A53,1)</f>
        <v>38596</v>
      </c>
      <c r="B54" s="116" t="n">
        <f aca="false">'Inputs-Summary'!$B$7</f>
        <v>3017157.21662952</v>
      </c>
      <c r="C54" s="57"/>
      <c r="D54" s="117" t="n">
        <f aca="false">B54+C54</f>
        <v>3017157.21662952</v>
      </c>
      <c r="E54" s="106" t="n">
        <f aca="false">IF(Z54=0,0,IF(AND(Z54=1,$H$3=1),D54*U54,IF($H$3=2,D54,"N/A")))</f>
        <v>0</v>
      </c>
      <c r="F54" s="106" t="n">
        <f aca="false">E54*Y54</f>
        <v>0</v>
      </c>
      <c r="G54" s="118" t="n">
        <f aca="false">VLOOKUP($A54,Table,MATCH(G$4,Curves,0))</f>
        <v>3</v>
      </c>
      <c r="H54" s="119" t="n">
        <f aca="false">G54+$H$7</f>
        <v>3</v>
      </c>
      <c r="I54" s="118" t="n">
        <f aca="false">'Inputs-Summary'!$B$16</f>
        <v>1.85</v>
      </c>
      <c r="J54" s="118" t="n">
        <f aca="false">VLOOKUP($A54,Table,MATCH(J$4,Curves,0))</f>
        <v>5</v>
      </c>
      <c r="K54" s="119" t="n">
        <f aca="false">J54+$K$7</f>
        <v>5</v>
      </c>
      <c r="L54" s="120" t="n">
        <f aca="false">K54</f>
        <v>5</v>
      </c>
      <c r="M54" s="118" t="n">
        <f aca="false">VLOOKUP($A54,Table,MATCH(M$4,Curves,0))</f>
        <v>5</v>
      </c>
      <c r="N54" s="119" t="n">
        <f aca="false">M54+$N$7</f>
        <v>5</v>
      </c>
      <c r="O54" s="120" t="n">
        <f aca="false">N54</f>
        <v>5</v>
      </c>
      <c r="P54" s="109"/>
      <c r="Q54" s="120" t="n">
        <f aca="false">IF($F$3=1,M54+J54+G54,J54+G54)</f>
        <v>8</v>
      </c>
      <c r="R54" s="120" t="n">
        <f aca="false">IF($F$3=1,N54+K54+H54,K54+H54)</f>
        <v>8</v>
      </c>
      <c r="S54" s="120" t="n">
        <f aca="false">IF($F$3=1,O54+L54+I54,L54+I54)</f>
        <v>6.85</v>
      </c>
      <c r="T54" s="121"/>
      <c r="U54" s="67" t="n">
        <f aca="false">A55-A54</f>
        <v>30</v>
      </c>
      <c r="V54" s="122" t="n">
        <f aca="false">CHOOSE(F$3,A55+24,A54)</f>
        <v>38596</v>
      </c>
      <c r="W54" s="67" t="n">
        <f aca="false">V54-C$3</f>
        <v>-7330</v>
      </c>
      <c r="X54" s="118" t="n">
        <f aca="false">VLOOKUP($A54,Table,MATCH(X$4,Curves,0))</f>
        <v>2</v>
      </c>
      <c r="Y54" s="123" t="n">
        <f aca="false">1/(1+CHOOSE(F$3,(X55+($K$3/10000))/2,(X54+($K$3/10000))/2))^(2*W54/365.25)</f>
        <v>1208950688956.02</v>
      </c>
      <c r="Z54" s="67" t="n">
        <f aca="false">IF(AND(mthbeg&lt;=A54,mthend&gt;=A54),1,0)</f>
        <v>0</v>
      </c>
      <c r="AA54" s="67" t="n">
        <f aca="false">U54*Z54</f>
        <v>0</v>
      </c>
      <c r="AC54" s="110" t="n">
        <f aca="false">F54*(H54-I54)</f>
        <v>0</v>
      </c>
      <c r="AD54" s="49"/>
      <c r="AE54" s="124"/>
    </row>
    <row r="55" customFormat="false" ht="12.75" hidden="false" customHeight="false" outlineLevel="0" collapsed="false">
      <c r="A55" s="115" t="n">
        <f aca="false">EDATE(A54,1)</f>
        <v>38626</v>
      </c>
      <c r="B55" s="116" t="n">
        <f aca="false">'Inputs-Summary'!$B$7</f>
        <v>3017157.21662952</v>
      </c>
      <c r="C55" s="57"/>
      <c r="D55" s="117" t="n">
        <f aca="false">B55+C55</f>
        <v>3017157.21662952</v>
      </c>
      <c r="E55" s="106" t="n">
        <f aca="false">IF(Z55=0,0,IF(AND(Z55=1,$H$3=1),D55*U55,IF($H$3=2,D55,"N/A")))</f>
        <v>0</v>
      </c>
      <c r="F55" s="106" t="n">
        <f aca="false">E55*Y55</f>
        <v>0</v>
      </c>
      <c r="G55" s="118" t="n">
        <f aca="false">VLOOKUP($A55,Table,MATCH(G$4,Curves,0))</f>
        <v>3</v>
      </c>
      <c r="H55" s="119" t="n">
        <f aca="false">G55+$H$7</f>
        <v>3</v>
      </c>
      <c r="I55" s="118" t="n">
        <f aca="false">'Inputs-Summary'!$B$16</f>
        <v>1.85</v>
      </c>
      <c r="J55" s="118" t="n">
        <f aca="false">VLOOKUP($A55,Table,MATCH(J$4,Curves,0))</f>
        <v>5</v>
      </c>
      <c r="K55" s="119" t="n">
        <f aca="false">J55+$K$7</f>
        <v>5</v>
      </c>
      <c r="L55" s="120" t="n">
        <f aca="false">K55</f>
        <v>5</v>
      </c>
      <c r="M55" s="118" t="n">
        <f aca="false">VLOOKUP($A55,Table,MATCH(M$4,Curves,0))</f>
        <v>5</v>
      </c>
      <c r="N55" s="119" t="n">
        <f aca="false">M55+$N$7</f>
        <v>5</v>
      </c>
      <c r="O55" s="120" t="n">
        <f aca="false">N55</f>
        <v>5</v>
      </c>
      <c r="P55" s="109"/>
      <c r="Q55" s="120" t="n">
        <f aca="false">IF($F$3=1,M55+J55+G55,J55+G55)</f>
        <v>8</v>
      </c>
      <c r="R55" s="120" t="n">
        <f aca="false">IF($F$3=1,N55+K55+H55,K55+H55)</f>
        <v>8</v>
      </c>
      <c r="S55" s="120" t="n">
        <f aca="false">IF($F$3=1,O55+L55+I55,L55+I55)</f>
        <v>6.85</v>
      </c>
      <c r="T55" s="121"/>
      <c r="U55" s="67" t="n">
        <f aca="false">A56-A55</f>
        <v>31</v>
      </c>
      <c r="V55" s="122" t="n">
        <f aca="false">CHOOSE(F$3,A56+24,A55)</f>
        <v>38626</v>
      </c>
      <c r="W55" s="67" t="n">
        <f aca="false">V55-C$3</f>
        <v>-7300</v>
      </c>
      <c r="X55" s="118" t="n">
        <f aca="false">VLOOKUP($A55,Table,MATCH(X$4,Curves,0))</f>
        <v>2</v>
      </c>
      <c r="Y55" s="123" t="n">
        <f aca="false">1/(1+CHOOSE(F$3,(X56+($K$3/10000))/2,(X55+($K$3/10000))/2))^(2*W55/365.25)</f>
        <v>1078842568828.11</v>
      </c>
      <c r="Z55" s="67" t="n">
        <f aca="false">IF(AND(mthbeg&lt;=A55,mthend&gt;=A55),1,0)</f>
        <v>0</v>
      </c>
      <c r="AA55" s="67" t="n">
        <f aca="false">U55*Z55</f>
        <v>0</v>
      </c>
      <c r="AC55" s="110" t="n">
        <f aca="false">F55*(H55-I55)</f>
        <v>0</v>
      </c>
      <c r="AD55" s="49"/>
      <c r="AE55" s="124"/>
    </row>
    <row r="56" customFormat="false" ht="12.75" hidden="false" customHeight="false" outlineLevel="0" collapsed="false">
      <c r="A56" s="115" t="n">
        <f aca="false">EDATE(A55,1)</f>
        <v>38657</v>
      </c>
      <c r="B56" s="116" t="n">
        <f aca="false">'Inputs-Summary'!$B$7</f>
        <v>3017157.21662952</v>
      </c>
      <c r="C56" s="57"/>
      <c r="D56" s="117" t="n">
        <f aca="false">B56+C56</f>
        <v>3017157.21662952</v>
      </c>
      <c r="E56" s="106" t="n">
        <f aca="false">IF(Z56=0,0,IF(AND(Z56=1,$H$3=1),D56*U56,IF($H$3=2,D56,"N/A")))</f>
        <v>0</v>
      </c>
      <c r="F56" s="106" t="n">
        <f aca="false">E56*Y56</f>
        <v>0</v>
      </c>
      <c r="G56" s="118" t="n">
        <f aca="false">VLOOKUP($A56,Table,MATCH(G$4,Curves,0))</f>
        <v>3</v>
      </c>
      <c r="H56" s="119" t="n">
        <f aca="false">G56+$H$7</f>
        <v>3</v>
      </c>
      <c r="I56" s="118" t="n">
        <f aca="false">'Inputs-Summary'!$B$16</f>
        <v>1.85</v>
      </c>
      <c r="J56" s="118" t="n">
        <f aca="false">VLOOKUP($A56,Table,MATCH(J$4,Curves,0))</f>
        <v>5</v>
      </c>
      <c r="K56" s="119" t="n">
        <f aca="false">J56+$K$7</f>
        <v>5</v>
      </c>
      <c r="L56" s="120" t="n">
        <f aca="false">K56</f>
        <v>5</v>
      </c>
      <c r="M56" s="118" t="n">
        <f aca="false">VLOOKUP($A56,Table,MATCH(M$4,Curves,0))</f>
        <v>5</v>
      </c>
      <c r="N56" s="119" t="n">
        <f aca="false">M56+$N$7</f>
        <v>5</v>
      </c>
      <c r="O56" s="120" t="n">
        <f aca="false">N56</f>
        <v>5</v>
      </c>
      <c r="P56" s="109"/>
      <c r="Q56" s="120" t="n">
        <f aca="false">IF($F$3=1,M56+J56+G56,J56+G56)</f>
        <v>8</v>
      </c>
      <c r="R56" s="120" t="n">
        <f aca="false">IF($F$3=1,N56+K56+H56,K56+H56)</f>
        <v>8</v>
      </c>
      <c r="S56" s="120" t="n">
        <f aca="false">IF($F$3=1,O56+L56+I56,L56+I56)</f>
        <v>6.85</v>
      </c>
      <c r="T56" s="121"/>
      <c r="U56" s="67" t="n">
        <f aca="false">A57-A56</f>
        <v>30</v>
      </c>
      <c r="V56" s="122" t="n">
        <f aca="false">CHOOSE(F$3,A57+24,A56)</f>
        <v>38657</v>
      </c>
      <c r="W56" s="67" t="n">
        <f aca="false">V56-C$3</f>
        <v>-7269</v>
      </c>
      <c r="X56" s="118" t="n">
        <f aca="false">VLOOKUP($A56,Table,MATCH(X$4,Curves,0))</f>
        <v>2</v>
      </c>
      <c r="Y56" s="123" t="n">
        <f aca="false">1/(1+CHOOSE(F$3,(X57+($K$3/10000))/2,(X56+($K$3/10000))/2))^(2*W56/365.25)</f>
        <v>959089665596.938</v>
      </c>
      <c r="Z56" s="67" t="n">
        <f aca="false">IF(AND(mthbeg&lt;=A56,mthend&gt;=A56),1,0)</f>
        <v>0</v>
      </c>
      <c r="AA56" s="67" t="n">
        <f aca="false">U56*Z56</f>
        <v>0</v>
      </c>
      <c r="AC56" s="110" t="n">
        <f aca="false">F56*(H56-I56)</f>
        <v>0</v>
      </c>
      <c r="AD56" s="49"/>
      <c r="AE56" s="124"/>
    </row>
    <row r="57" customFormat="false" ht="12.75" hidden="false" customHeight="false" outlineLevel="0" collapsed="false">
      <c r="A57" s="115" t="n">
        <f aca="false">EDATE(A56,1)</f>
        <v>38687</v>
      </c>
      <c r="B57" s="116" t="n">
        <f aca="false">'Inputs-Summary'!$B$7</f>
        <v>3017157.21662952</v>
      </c>
      <c r="C57" s="57"/>
      <c r="D57" s="117" t="n">
        <f aca="false">B57+C57</f>
        <v>3017157.21662952</v>
      </c>
      <c r="E57" s="106" t="n">
        <f aca="false">IF(Z57=0,0,IF(AND(Z57=1,$H$3=1),D57*U57,IF($H$3=2,D57,"N/A")))</f>
        <v>0</v>
      </c>
      <c r="F57" s="106" t="n">
        <f aca="false">E57*Y57</f>
        <v>0</v>
      </c>
      <c r="G57" s="118" t="n">
        <f aca="false">VLOOKUP($A57,Table,MATCH(G$4,Curves,0))</f>
        <v>3</v>
      </c>
      <c r="H57" s="119" t="n">
        <f aca="false">G57+$H$7</f>
        <v>3</v>
      </c>
      <c r="I57" s="118" t="n">
        <f aca="false">'Inputs-Summary'!$B$16</f>
        <v>1.85</v>
      </c>
      <c r="J57" s="118" t="n">
        <f aca="false">VLOOKUP($A57,Table,MATCH(J$4,Curves,0))</f>
        <v>5</v>
      </c>
      <c r="K57" s="119" t="n">
        <f aca="false">J57+$K$7</f>
        <v>5</v>
      </c>
      <c r="L57" s="120" t="n">
        <f aca="false">K57</f>
        <v>5</v>
      </c>
      <c r="M57" s="118" t="n">
        <f aca="false">VLOOKUP($A57,Table,MATCH(M$4,Curves,0))</f>
        <v>5</v>
      </c>
      <c r="N57" s="119" t="n">
        <f aca="false">M57+$N$7</f>
        <v>5</v>
      </c>
      <c r="O57" s="120" t="n">
        <f aca="false">N57</f>
        <v>5</v>
      </c>
      <c r="P57" s="109"/>
      <c r="Q57" s="120" t="n">
        <f aca="false">IF($F$3=1,M57+J57+G57,J57+G57)</f>
        <v>8</v>
      </c>
      <c r="R57" s="120" t="n">
        <f aca="false">IF($F$3=1,N57+K57+H57,K57+H57)</f>
        <v>8</v>
      </c>
      <c r="S57" s="120" t="n">
        <f aca="false">IF($F$3=1,O57+L57+I57,L57+I57)</f>
        <v>6.85</v>
      </c>
      <c r="T57" s="121"/>
      <c r="U57" s="67" t="n">
        <f aca="false">A58-A57</f>
        <v>31</v>
      </c>
      <c r="V57" s="122" t="n">
        <f aca="false">CHOOSE(F$3,A58+24,A57)</f>
        <v>38687</v>
      </c>
      <c r="W57" s="67" t="n">
        <f aca="false">V57-C$3</f>
        <v>-7239</v>
      </c>
      <c r="X57" s="118" t="n">
        <f aca="false">VLOOKUP($A57,Table,MATCH(X$4,Curves,0))</f>
        <v>2</v>
      </c>
      <c r="Y57" s="123" t="n">
        <f aca="false">1/(1+CHOOSE(F$3,(X58+($K$3/10000))/2,(X57+($K$3/10000))/2))^(2*W57/365.25)</f>
        <v>855871763853.825</v>
      </c>
      <c r="Z57" s="67" t="n">
        <f aca="false">IF(AND(mthbeg&lt;=A57,mthend&gt;=A57),1,0)</f>
        <v>0</v>
      </c>
      <c r="AA57" s="67" t="n">
        <f aca="false">U57*Z57</f>
        <v>0</v>
      </c>
      <c r="AC57" s="110" t="n">
        <f aca="false">F57*(H57-I57)</f>
        <v>0</v>
      </c>
      <c r="AD57" s="49"/>
      <c r="AE57" s="124"/>
    </row>
    <row r="58" customFormat="false" ht="12.75" hidden="false" customHeight="false" outlineLevel="0" collapsed="false">
      <c r="A58" s="115" t="n">
        <f aca="false">EDATE(A57,1)</f>
        <v>38718</v>
      </c>
      <c r="B58" s="116" t="n">
        <f aca="false">'Inputs-Summary'!$B$7</f>
        <v>3017157.21662952</v>
      </c>
      <c r="C58" s="57"/>
      <c r="D58" s="117" t="n">
        <f aca="false">B58+C58</f>
        <v>3017157.21662952</v>
      </c>
      <c r="E58" s="106" t="n">
        <f aca="false">IF(Z58=0,0,IF(AND(Z58=1,$H$3=1),D58*U58,IF($H$3=2,D58,"N/A")))</f>
        <v>0</v>
      </c>
      <c r="F58" s="106" t="n">
        <f aca="false">E58*Y58</f>
        <v>0</v>
      </c>
      <c r="G58" s="118" t="n">
        <f aca="false">VLOOKUP($A58,Table,MATCH(G$4,Curves,0))</f>
        <v>3</v>
      </c>
      <c r="H58" s="119" t="n">
        <f aca="false">G58+$H$7</f>
        <v>3</v>
      </c>
      <c r="I58" s="118" t="n">
        <f aca="false">'Inputs-Summary'!$B$16</f>
        <v>1.85</v>
      </c>
      <c r="J58" s="118" t="n">
        <f aca="false">VLOOKUP($A58,Table,MATCH(J$4,Curves,0))</f>
        <v>5</v>
      </c>
      <c r="K58" s="119" t="n">
        <f aca="false">J58+$K$7</f>
        <v>5</v>
      </c>
      <c r="L58" s="120" t="n">
        <f aca="false">K58</f>
        <v>5</v>
      </c>
      <c r="M58" s="118" t="n">
        <f aca="false">VLOOKUP($A58,Table,MATCH(M$4,Curves,0))</f>
        <v>5</v>
      </c>
      <c r="N58" s="119" t="n">
        <f aca="false">M58+$N$7</f>
        <v>5</v>
      </c>
      <c r="O58" s="120" t="n">
        <f aca="false">N58</f>
        <v>5</v>
      </c>
      <c r="P58" s="109"/>
      <c r="Q58" s="120" t="n">
        <f aca="false">IF($F$3=1,M58+J58+G58,J58+G58)</f>
        <v>8</v>
      </c>
      <c r="R58" s="120" t="n">
        <f aca="false">IF($F$3=1,N58+K58+H58,K58+H58)</f>
        <v>8</v>
      </c>
      <c r="S58" s="120" t="n">
        <f aca="false">IF($F$3=1,O58+L58+I58,L58+I58)</f>
        <v>6.85</v>
      </c>
      <c r="T58" s="121"/>
      <c r="U58" s="67" t="n">
        <f aca="false">A59-A58</f>
        <v>31</v>
      </c>
      <c r="V58" s="122" t="n">
        <f aca="false">CHOOSE(F$3,A59+24,A58)</f>
        <v>38718</v>
      </c>
      <c r="W58" s="67" t="n">
        <f aca="false">V58-C$3</f>
        <v>-7208</v>
      </c>
      <c r="X58" s="118" t="n">
        <f aca="false">VLOOKUP($A58,Table,MATCH(X$4,Curves,0))</f>
        <v>2</v>
      </c>
      <c r="Y58" s="123" t="n">
        <f aca="false">1/(1+CHOOSE(F$3,(X59+($K$3/10000))/2,(X58+($K$3/10000))/2))^(2*W58/365.25)</f>
        <v>760868904793.11</v>
      </c>
      <c r="Z58" s="67" t="n">
        <f aca="false">IF(AND(mthbeg&lt;=A58,mthend&gt;=A58),1,0)</f>
        <v>0</v>
      </c>
      <c r="AA58" s="67" t="n">
        <f aca="false">U58*Z58</f>
        <v>0</v>
      </c>
      <c r="AC58" s="110" t="n">
        <f aca="false">F58*(H58-I58)</f>
        <v>0</v>
      </c>
      <c r="AD58" s="49"/>
      <c r="AE58" s="124"/>
    </row>
    <row r="59" customFormat="false" ht="12.75" hidden="false" customHeight="false" outlineLevel="0" collapsed="false">
      <c r="A59" s="115" t="n">
        <f aca="false">EDATE(A58,1)</f>
        <v>38749</v>
      </c>
      <c r="B59" s="116" t="n">
        <f aca="false">'Inputs-Summary'!$B$7</f>
        <v>3017157.21662952</v>
      </c>
      <c r="C59" s="57"/>
      <c r="D59" s="117" t="n">
        <f aca="false">B59+C59</f>
        <v>3017157.21662952</v>
      </c>
      <c r="E59" s="106" t="n">
        <f aca="false">IF(Z59=0,0,IF(AND(Z59=1,$H$3=1),D59*U59,IF($H$3=2,D59,"N/A")))</f>
        <v>0</v>
      </c>
      <c r="F59" s="106" t="n">
        <f aca="false">E59*Y59</f>
        <v>0</v>
      </c>
      <c r="G59" s="118" t="n">
        <f aca="false">VLOOKUP($A59,Table,MATCH(G$4,Curves,0))</f>
        <v>3</v>
      </c>
      <c r="H59" s="119" t="n">
        <f aca="false">G59+$H$7</f>
        <v>3</v>
      </c>
      <c r="I59" s="118" t="n">
        <f aca="false">'Inputs-Summary'!$B$16</f>
        <v>1.85</v>
      </c>
      <c r="J59" s="118" t="n">
        <f aca="false">VLOOKUP($A59,Table,MATCH(J$4,Curves,0))</f>
        <v>5</v>
      </c>
      <c r="K59" s="119" t="n">
        <f aca="false">J59+$K$7</f>
        <v>5</v>
      </c>
      <c r="L59" s="120" t="n">
        <f aca="false">K59</f>
        <v>5</v>
      </c>
      <c r="M59" s="118" t="n">
        <f aca="false">VLOOKUP($A59,Table,MATCH(M$4,Curves,0))</f>
        <v>5</v>
      </c>
      <c r="N59" s="119" t="n">
        <f aca="false">M59+$N$7</f>
        <v>5</v>
      </c>
      <c r="O59" s="120" t="n">
        <f aca="false">N59</f>
        <v>5</v>
      </c>
      <c r="P59" s="109"/>
      <c r="Q59" s="120" t="n">
        <f aca="false">IF($F$3=1,M59+J59+G59,J59+G59)</f>
        <v>8</v>
      </c>
      <c r="R59" s="120" t="n">
        <f aca="false">IF($F$3=1,N59+K59+H59,K59+H59)</f>
        <v>8</v>
      </c>
      <c r="S59" s="120" t="n">
        <f aca="false">IF($F$3=1,O59+L59+I59,L59+I59)</f>
        <v>6.85</v>
      </c>
      <c r="T59" s="121"/>
      <c r="U59" s="67" t="n">
        <f aca="false">A60-A59</f>
        <v>28</v>
      </c>
      <c r="V59" s="122" t="n">
        <f aca="false">CHOOSE(F$3,A60+24,A59)</f>
        <v>38749</v>
      </c>
      <c r="W59" s="67" t="n">
        <f aca="false">V59-C$3</f>
        <v>-7177</v>
      </c>
      <c r="X59" s="118" t="n">
        <f aca="false">VLOOKUP($A59,Table,MATCH(X$4,Curves,0))</f>
        <v>2</v>
      </c>
      <c r="Y59" s="123" t="n">
        <f aca="false">1/(1+CHOOSE(F$3,(X60+($K$3/10000))/2,(X59+($K$3/10000))/2))^(2*W59/365.25)</f>
        <v>676411484442.826</v>
      </c>
      <c r="Z59" s="67" t="n">
        <f aca="false">IF(AND(mthbeg&lt;=A59,mthend&gt;=A59),1,0)</f>
        <v>0</v>
      </c>
      <c r="AA59" s="67" t="n">
        <f aca="false">U59*Z59</f>
        <v>0</v>
      </c>
      <c r="AC59" s="110" t="n">
        <f aca="false">F59*(H59-I59)</f>
        <v>0</v>
      </c>
      <c r="AD59" s="49"/>
      <c r="AE59" s="124"/>
    </row>
    <row r="60" customFormat="false" ht="12.75" hidden="false" customHeight="false" outlineLevel="0" collapsed="false">
      <c r="A60" s="115" t="n">
        <f aca="false">EDATE(A59,1)</f>
        <v>38777</v>
      </c>
      <c r="B60" s="116" t="n">
        <f aca="false">'Inputs-Summary'!$B$7</f>
        <v>3017157.21662952</v>
      </c>
      <c r="C60" s="57"/>
      <c r="D60" s="117" t="n">
        <f aca="false">B60+C60</f>
        <v>3017157.21662952</v>
      </c>
      <c r="E60" s="106" t="n">
        <f aca="false">IF(Z60=0,0,IF(AND(Z60=1,$H$3=1),D60*U60,IF($H$3=2,D60,"N/A")))</f>
        <v>0</v>
      </c>
      <c r="F60" s="106" t="n">
        <f aca="false">E60*Y60</f>
        <v>0</v>
      </c>
      <c r="G60" s="118" t="n">
        <f aca="false">VLOOKUP($A60,Table,MATCH(G$4,Curves,0))</f>
        <v>3</v>
      </c>
      <c r="H60" s="119" t="n">
        <f aca="false">G60+$H$7</f>
        <v>3</v>
      </c>
      <c r="I60" s="118" t="n">
        <f aca="false">'Inputs-Summary'!$B$16</f>
        <v>1.85</v>
      </c>
      <c r="J60" s="118" t="n">
        <f aca="false">VLOOKUP($A60,Table,MATCH(J$4,Curves,0))</f>
        <v>5</v>
      </c>
      <c r="K60" s="119" t="n">
        <f aca="false">J60+$K$7</f>
        <v>5</v>
      </c>
      <c r="L60" s="120" t="n">
        <f aca="false">K60</f>
        <v>5</v>
      </c>
      <c r="M60" s="118" t="n">
        <f aca="false">VLOOKUP($A60,Table,MATCH(M$4,Curves,0))</f>
        <v>5</v>
      </c>
      <c r="N60" s="119" t="n">
        <f aca="false">M60+$N$7</f>
        <v>5</v>
      </c>
      <c r="O60" s="120" t="n">
        <f aca="false">N60</f>
        <v>5</v>
      </c>
      <c r="P60" s="109"/>
      <c r="Q60" s="120" t="n">
        <f aca="false">IF($F$3=1,M60+J60+G60,J60+G60)</f>
        <v>8</v>
      </c>
      <c r="R60" s="120" t="n">
        <f aca="false">IF($F$3=1,N60+K60+H60,K60+H60)</f>
        <v>8</v>
      </c>
      <c r="S60" s="120" t="n">
        <f aca="false">IF($F$3=1,O60+L60+I60,L60+I60)</f>
        <v>6.85</v>
      </c>
      <c r="T60" s="121"/>
      <c r="U60" s="67" t="n">
        <f aca="false">A61-A60</f>
        <v>31</v>
      </c>
      <c r="V60" s="122" t="n">
        <f aca="false">CHOOSE(F$3,A61+24,A60)</f>
        <v>38777</v>
      </c>
      <c r="W60" s="67" t="n">
        <f aca="false">V60-C$3</f>
        <v>-7149</v>
      </c>
      <c r="X60" s="118" t="n">
        <f aca="false">VLOOKUP($A60,Table,MATCH(X$4,Curves,0))</f>
        <v>2</v>
      </c>
      <c r="Y60" s="123" t="n">
        <f aca="false">1/(1+CHOOSE(F$3,(X61+($K$3/10000))/2,(X60+($K$3/10000))/2))^(2*W60/365.25)</f>
        <v>608215047901.419</v>
      </c>
      <c r="Z60" s="67" t="n">
        <f aca="false">IF(AND(mthbeg&lt;=A60,mthend&gt;=A60),1,0)</f>
        <v>0</v>
      </c>
      <c r="AA60" s="67" t="n">
        <f aca="false">U60*Z60</f>
        <v>0</v>
      </c>
      <c r="AC60" s="110" t="n">
        <f aca="false">F60*(H60-I60)</f>
        <v>0</v>
      </c>
      <c r="AD60" s="49"/>
      <c r="AE60" s="124"/>
    </row>
    <row r="61" customFormat="false" ht="12.75" hidden="false" customHeight="false" outlineLevel="0" collapsed="false">
      <c r="A61" s="115" t="n">
        <f aca="false">EDATE(A60,1)</f>
        <v>38808</v>
      </c>
      <c r="B61" s="116" t="n">
        <f aca="false">'Inputs-Summary'!$B$7</f>
        <v>3017157.21662952</v>
      </c>
      <c r="C61" s="57"/>
      <c r="D61" s="117" t="n">
        <f aca="false">B61+C61</f>
        <v>3017157.21662952</v>
      </c>
      <c r="E61" s="106" t="n">
        <f aca="false">IF(Z61=0,0,IF(AND(Z61=1,$H$3=1),D61*U61,IF($H$3=2,D61,"N/A")))</f>
        <v>0</v>
      </c>
      <c r="F61" s="106" t="n">
        <f aca="false">E61*Y61</f>
        <v>0</v>
      </c>
      <c r="G61" s="118" t="n">
        <f aca="false">VLOOKUP($A61,Table,MATCH(G$4,Curves,0))</f>
        <v>3</v>
      </c>
      <c r="H61" s="119" t="n">
        <f aca="false">G61+$H$7</f>
        <v>3</v>
      </c>
      <c r="I61" s="118" t="n">
        <f aca="false">'Inputs-Summary'!$B$16</f>
        <v>1.85</v>
      </c>
      <c r="J61" s="118" t="n">
        <f aca="false">VLOOKUP($A61,Table,MATCH(J$4,Curves,0))</f>
        <v>5</v>
      </c>
      <c r="K61" s="119" t="n">
        <f aca="false">J61+$K$7</f>
        <v>5</v>
      </c>
      <c r="L61" s="120" t="n">
        <f aca="false">K61</f>
        <v>5</v>
      </c>
      <c r="M61" s="118" t="n">
        <f aca="false">VLOOKUP($A61,Table,MATCH(M$4,Curves,0))</f>
        <v>5</v>
      </c>
      <c r="N61" s="119" t="n">
        <f aca="false">M61+$N$7</f>
        <v>5</v>
      </c>
      <c r="O61" s="120" t="n">
        <f aca="false">N61</f>
        <v>5</v>
      </c>
      <c r="P61" s="109"/>
      <c r="Q61" s="120" t="n">
        <f aca="false">IF($F$3=1,M61+J61+G61,J61+G61)</f>
        <v>8</v>
      </c>
      <c r="R61" s="120" t="n">
        <f aca="false">IF($F$3=1,N61+K61+H61,K61+H61)</f>
        <v>8</v>
      </c>
      <c r="S61" s="120" t="n">
        <f aca="false">IF($F$3=1,O61+L61+I61,L61+I61)</f>
        <v>6.85</v>
      </c>
      <c r="T61" s="121"/>
      <c r="U61" s="67" t="n">
        <f aca="false">A62-A61</f>
        <v>30</v>
      </c>
      <c r="V61" s="122" t="n">
        <f aca="false">CHOOSE(F$3,A62+24,A61)</f>
        <v>38808</v>
      </c>
      <c r="W61" s="67" t="n">
        <f aca="false">V61-C$3</f>
        <v>-7118</v>
      </c>
      <c r="X61" s="118" t="n">
        <f aca="false">VLOOKUP($A61,Table,MATCH(X$4,Curves,0))</f>
        <v>2</v>
      </c>
      <c r="Y61" s="123" t="n">
        <f aca="false">1/(1+CHOOSE(F$3,(X62+($K$3/10000))/2,(X61+($K$3/10000))/2))^(2*W61/365.25)</f>
        <v>540702400663</v>
      </c>
      <c r="Z61" s="67" t="n">
        <f aca="false">IF(AND(mthbeg&lt;=A61,mthend&gt;=A61),1,0)</f>
        <v>0</v>
      </c>
      <c r="AA61" s="67" t="n">
        <f aca="false">U61*Z61</f>
        <v>0</v>
      </c>
      <c r="AC61" s="110" t="n">
        <f aca="false">F61*(H61-I61)</f>
        <v>0</v>
      </c>
      <c r="AD61" s="49"/>
      <c r="AE61" s="124"/>
    </row>
    <row r="62" customFormat="false" ht="12.75" hidden="false" customHeight="false" outlineLevel="0" collapsed="false">
      <c r="A62" s="115" t="n">
        <f aca="false">EDATE(A61,1)</f>
        <v>38838</v>
      </c>
      <c r="B62" s="116" t="n">
        <f aca="false">'Inputs-Summary'!$B$7</f>
        <v>3017157.21662952</v>
      </c>
      <c r="C62" s="57"/>
      <c r="D62" s="117" t="n">
        <f aca="false">B62+C62</f>
        <v>3017157.21662952</v>
      </c>
      <c r="E62" s="106" t="n">
        <f aca="false">IF(Z62=0,0,IF(AND(Z62=1,$H$3=1),D62*U62,IF($H$3=2,D62,"N/A")))</f>
        <v>0</v>
      </c>
      <c r="F62" s="106" t="n">
        <f aca="false">E62*Y62</f>
        <v>0</v>
      </c>
      <c r="G62" s="118" t="n">
        <f aca="false">VLOOKUP($A62,Table,MATCH(G$4,Curves,0))</f>
        <v>3</v>
      </c>
      <c r="H62" s="119" t="n">
        <f aca="false">G62+$H$7</f>
        <v>3</v>
      </c>
      <c r="I62" s="118" t="n">
        <f aca="false">'Inputs-Summary'!$B$16</f>
        <v>1.85</v>
      </c>
      <c r="J62" s="118" t="n">
        <f aca="false">VLOOKUP($A62,Table,MATCH(J$4,Curves,0))</f>
        <v>5</v>
      </c>
      <c r="K62" s="119" t="n">
        <f aca="false">J62+$K$7</f>
        <v>5</v>
      </c>
      <c r="L62" s="120" t="n">
        <f aca="false">K62</f>
        <v>5</v>
      </c>
      <c r="M62" s="118" t="n">
        <f aca="false">VLOOKUP($A62,Table,MATCH(M$4,Curves,0))</f>
        <v>5</v>
      </c>
      <c r="N62" s="119" t="n">
        <f aca="false">M62+$N$7</f>
        <v>5</v>
      </c>
      <c r="O62" s="120" t="n">
        <f aca="false">N62</f>
        <v>5</v>
      </c>
      <c r="P62" s="109"/>
      <c r="Q62" s="120" t="n">
        <f aca="false">IF($F$3=1,M62+J62+G62,J62+G62)</f>
        <v>8</v>
      </c>
      <c r="R62" s="120" t="n">
        <f aca="false">IF($F$3=1,N62+K62+H62,K62+H62)</f>
        <v>8</v>
      </c>
      <c r="S62" s="120" t="n">
        <f aca="false">IF($F$3=1,O62+L62+I62,L62+I62)</f>
        <v>6.85</v>
      </c>
      <c r="T62" s="121"/>
      <c r="U62" s="67" t="n">
        <f aca="false">A63-A62</f>
        <v>31</v>
      </c>
      <c r="V62" s="122" t="n">
        <f aca="false">CHOOSE(F$3,A63+24,A62)</f>
        <v>38838</v>
      </c>
      <c r="W62" s="67" t="n">
        <f aca="false">V62-C$3</f>
        <v>-7088</v>
      </c>
      <c r="X62" s="118" t="n">
        <f aca="false">VLOOKUP($A62,Table,MATCH(X$4,Curves,0))</f>
        <v>2</v>
      </c>
      <c r="Y62" s="123" t="n">
        <f aca="false">1/(1+CHOOSE(F$3,(X63+($K$3/10000))/2,(X62+($K$3/10000))/2))^(2*W62/365.25)</f>
        <v>482511629491.297</v>
      </c>
      <c r="Z62" s="67" t="n">
        <f aca="false">IF(AND(mthbeg&lt;=A62,mthend&gt;=A62),1,0)</f>
        <v>0</v>
      </c>
      <c r="AA62" s="67" t="n">
        <f aca="false">U62*Z62</f>
        <v>0</v>
      </c>
      <c r="AC62" s="110" t="n">
        <f aca="false">F62*(H62-I62)</f>
        <v>0</v>
      </c>
      <c r="AD62" s="49"/>
      <c r="AE62" s="124"/>
    </row>
    <row r="63" customFormat="false" ht="12.75" hidden="false" customHeight="false" outlineLevel="0" collapsed="false">
      <c r="A63" s="115" t="n">
        <f aca="false">EDATE(A62,1)</f>
        <v>38869</v>
      </c>
      <c r="B63" s="116" t="n">
        <f aca="false">'Inputs-Summary'!$B$7</f>
        <v>3017157.21662952</v>
      </c>
      <c r="C63" s="57"/>
      <c r="D63" s="117" t="n">
        <f aca="false">B63+C63</f>
        <v>3017157.21662952</v>
      </c>
      <c r="E63" s="106" t="n">
        <f aca="false">IF(Z63=0,0,IF(AND(Z63=1,$H$3=1),D63*U63,IF($H$3=2,D63,"N/A")))</f>
        <v>0</v>
      </c>
      <c r="F63" s="106" t="n">
        <f aca="false">E63*Y63</f>
        <v>0</v>
      </c>
      <c r="G63" s="118" t="n">
        <f aca="false">VLOOKUP($A63,Table,MATCH(G$4,Curves,0))</f>
        <v>3</v>
      </c>
      <c r="H63" s="119" t="n">
        <f aca="false">G63+$H$7</f>
        <v>3</v>
      </c>
      <c r="I63" s="118" t="n">
        <f aca="false">'Inputs-Summary'!$B$16</f>
        <v>1.85</v>
      </c>
      <c r="J63" s="118" t="n">
        <f aca="false">VLOOKUP($A63,Table,MATCH(J$4,Curves,0))</f>
        <v>5</v>
      </c>
      <c r="K63" s="119" t="n">
        <f aca="false">J63+$K$7</f>
        <v>5</v>
      </c>
      <c r="L63" s="120" t="n">
        <f aca="false">K63</f>
        <v>5</v>
      </c>
      <c r="M63" s="118" t="n">
        <f aca="false">VLOOKUP($A63,Table,MATCH(M$4,Curves,0))</f>
        <v>5</v>
      </c>
      <c r="N63" s="119" t="n">
        <f aca="false">M63+$N$7</f>
        <v>5</v>
      </c>
      <c r="O63" s="120" t="n">
        <f aca="false">N63</f>
        <v>5</v>
      </c>
      <c r="P63" s="109"/>
      <c r="Q63" s="120" t="n">
        <f aca="false">IF($F$3=1,M63+J63+G63,J63+G63)</f>
        <v>8</v>
      </c>
      <c r="R63" s="120" t="n">
        <f aca="false">IF($F$3=1,N63+K63+H63,K63+H63)</f>
        <v>8</v>
      </c>
      <c r="S63" s="120" t="n">
        <f aca="false">IF($F$3=1,O63+L63+I63,L63+I63)</f>
        <v>6.85</v>
      </c>
      <c r="T63" s="121"/>
      <c r="U63" s="67" t="n">
        <f aca="false">A64-A63</f>
        <v>30</v>
      </c>
      <c r="V63" s="122" t="n">
        <f aca="false">CHOOSE(F$3,A64+24,A63)</f>
        <v>38869</v>
      </c>
      <c r="W63" s="67" t="n">
        <f aca="false">V63-C$3</f>
        <v>-7057</v>
      </c>
      <c r="X63" s="118" t="n">
        <f aca="false">VLOOKUP($A63,Table,MATCH(X$4,Curves,0))</f>
        <v>2</v>
      </c>
      <c r="Y63" s="123" t="n">
        <f aca="false">1/(1+CHOOSE(F$3,(X64+($K$3/10000))/2,(X63+($K$3/10000))/2))^(2*W63/365.25)</f>
        <v>428952222267.358</v>
      </c>
      <c r="Z63" s="67" t="n">
        <f aca="false">IF(AND(mthbeg&lt;=A63,mthend&gt;=A63),1,0)</f>
        <v>0</v>
      </c>
      <c r="AA63" s="67" t="n">
        <f aca="false">U63*Z63</f>
        <v>0</v>
      </c>
      <c r="AC63" s="110" t="n">
        <f aca="false">F63*(H63-I63)</f>
        <v>0</v>
      </c>
      <c r="AD63" s="49"/>
      <c r="AE63" s="124"/>
    </row>
    <row r="64" customFormat="false" ht="12.75" hidden="false" customHeight="false" outlineLevel="0" collapsed="false">
      <c r="A64" s="115" t="n">
        <f aca="false">EDATE(A63,1)</f>
        <v>38899</v>
      </c>
      <c r="B64" s="116" t="n">
        <f aca="false">'Inputs-Summary'!$B$7</f>
        <v>3017157.21662952</v>
      </c>
      <c r="C64" s="57"/>
      <c r="D64" s="117" t="n">
        <f aca="false">B64+C64</f>
        <v>3017157.21662952</v>
      </c>
      <c r="E64" s="106" t="n">
        <f aca="false">IF(Z64=0,0,IF(AND(Z64=1,$H$3=1),D64*U64,IF($H$3=2,D64,"N/A")))</f>
        <v>0</v>
      </c>
      <c r="F64" s="106" t="n">
        <f aca="false">E64*Y64</f>
        <v>0</v>
      </c>
      <c r="G64" s="118" t="n">
        <f aca="false">VLOOKUP($A64,Table,MATCH(G$4,Curves,0))</f>
        <v>3</v>
      </c>
      <c r="H64" s="119" t="n">
        <f aca="false">G64+$H$7</f>
        <v>3</v>
      </c>
      <c r="I64" s="118" t="n">
        <f aca="false">'Inputs-Summary'!$B$16</f>
        <v>1.85</v>
      </c>
      <c r="J64" s="118" t="n">
        <f aca="false">VLOOKUP($A64,Table,MATCH(J$4,Curves,0))</f>
        <v>5</v>
      </c>
      <c r="K64" s="119" t="n">
        <f aca="false">J64+$K$7</f>
        <v>5</v>
      </c>
      <c r="L64" s="120" t="n">
        <f aca="false">K64</f>
        <v>5</v>
      </c>
      <c r="M64" s="118" t="n">
        <f aca="false">VLOOKUP($A64,Table,MATCH(M$4,Curves,0))</f>
        <v>5</v>
      </c>
      <c r="N64" s="119" t="n">
        <f aca="false">M64+$N$7</f>
        <v>5</v>
      </c>
      <c r="O64" s="120" t="n">
        <f aca="false">N64</f>
        <v>5</v>
      </c>
      <c r="P64" s="109"/>
      <c r="Q64" s="120" t="n">
        <f aca="false">IF($F$3=1,M64+J64+G64,J64+G64)</f>
        <v>8</v>
      </c>
      <c r="R64" s="120" t="n">
        <f aca="false">IF($F$3=1,N64+K64+H64,K64+H64)</f>
        <v>8</v>
      </c>
      <c r="S64" s="120" t="n">
        <f aca="false">IF($F$3=1,O64+L64+I64,L64+I64)</f>
        <v>6.85</v>
      </c>
      <c r="T64" s="121"/>
      <c r="U64" s="67" t="n">
        <f aca="false">A65-A64</f>
        <v>31</v>
      </c>
      <c r="V64" s="122" t="n">
        <f aca="false">CHOOSE(F$3,A65+24,A64)</f>
        <v>38899</v>
      </c>
      <c r="W64" s="67" t="n">
        <f aca="false">V64-C$3</f>
        <v>-7027</v>
      </c>
      <c r="X64" s="118" t="n">
        <f aca="false">VLOOKUP($A64,Table,MATCH(X$4,Curves,0))</f>
        <v>2</v>
      </c>
      <c r="Y64" s="123" t="n">
        <f aca="false">1/(1+CHOOSE(F$3,(X65+($K$3/10000))/2,(X64+($K$3/10000))/2))^(2*W64/365.25)</f>
        <v>382788083585.992</v>
      </c>
      <c r="Z64" s="67" t="n">
        <f aca="false">IF(AND(mthbeg&lt;=A64,mthend&gt;=A64),1,0)</f>
        <v>0</v>
      </c>
      <c r="AA64" s="67" t="n">
        <f aca="false">U64*Z64</f>
        <v>0</v>
      </c>
      <c r="AC64" s="110" t="n">
        <f aca="false">F64*(H64-I64)</f>
        <v>0</v>
      </c>
      <c r="AD64" s="49"/>
      <c r="AE64" s="124"/>
    </row>
    <row r="65" customFormat="false" ht="12.75" hidden="false" customHeight="false" outlineLevel="0" collapsed="false">
      <c r="A65" s="115" t="n">
        <f aca="false">EDATE(A64,1)</f>
        <v>38930</v>
      </c>
      <c r="B65" s="116" t="n">
        <f aca="false">'Inputs-Summary'!$B$7</f>
        <v>3017157.21662952</v>
      </c>
      <c r="C65" s="57"/>
      <c r="D65" s="117" t="n">
        <f aca="false">B65+C65</f>
        <v>3017157.21662952</v>
      </c>
      <c r="E65" s="106" t="n">
        <f aca="false">IF(Z65=0,0,IF(AND(Z65=1,$H$3=1),D65*U65,IF($H$3=2,D65,"N/A")))</f>
        <v>0</v>
      </c>
      <c r="F65" s="106" t="n">
        <f aca="false">E65*Y65</f>
        <v>0</v>
      </c>
      <c r="G65" s="118" t="n">
        <f aca="false">VLOOKUP($A65,Table,MATCH(G$4,Curves,0))</f>
        <v>3</v>
      </c>
      <c r="H65" s="119" t="n">
        <f aca="false">G65+$H$7</f>
        <v>3</v>
      </c>
      <c r="I65" s="118" t="n">
        <f aca="false">'Inputs-Summary'!$B$16</f>
        <v>1.85</v>
      </c>
      <c r="J65" s="118" t="n">
        <f aca="false">VLOOKUP($A65,Table,MATCH(J$4,Curves,0))</f>
        <v>5</v>
      </c>
      <c r="K65" s="119" t="n">
        <f aca="false">J65+$K$7</f>
        <v>5</v>
      </c>
      <c r="L65" s="120" t="n">
        <f aca="false">K65</f>
        <v>5</v>
      </c>
      <c r="M65" s="118" t="n">
        <f aca="false">VLOOKUP($A65,Table,MATCH(M$4,Curves,0))</f>
        <v>5</v>
      </c>
      <c r="N65" s="119" t="n">
        <f aca="false">M65+$N$7</f>
        <v>5</v>
      </c>
      <c r="O65" s="120" t="n">
        <f aca="false">N65</f>
        <v>5</v>
      </c>
      <c r="P65" s="109"/>
      <c r="Q65" s="120" t="n">
        <f aca="false">IF($F$3=1,M65+J65+G65,J65+G65)</f>
        <v>8</v>
      </c>
      <c r="R65" s="120" t="n">
        <f aca="false">IF($F$3=1,N65+K65+H65,K65+H65)</f>
        <v>8</v>
      </c>
      <c r="S65" s="120" t="n">
        <f aca="false">IF($F$3=1,O65+L65+I65,L65+I65)</f>
        <v>6.85</v>
      </c>
      <c r="T65" s="121"/>
      <c r="U65" s="67" t="n">
        <f aca="false">A66-A65</f>
        <v>31</v>
      </c>
      <c r="V65" s="122" t="n">
        <f aca="false">CHOOSE(F$3,A66+24,A65)</f>
        <v>38930</v>
      </c>
      <c r="W65" s="67" t="n">
        <f aca="false">V65-C$3</f>
        <v>-6996</v>
      </c>
      <c r="X65" s="118" t="n">
        <f aca="false">VLOOKUP($A65,Table,MATCH(X$4,Curves,0))</f>
        <v>2</v>
      </c>
      <c r="Y65" s="123" t="n">
        <f aca="false">1/(1+CHOOSE(F$3,(X66+($K$3/10000))/2,(X65+($K$3/10000))/2))^(2*W65/365.25)</f>
        <v>340298117342.343</v>
      </c>
      <c r="Z65" s="67" t="n">
        <f aca="false">IF(AND(mthbeg&lt;=A65,mthend&gt;=A65),1,0)</f>
        <v>0</v>
      </c>
      <c r="AA65" s="67" t="n">
        <f aca="false">U65*Z65</f>
        <v>0</v>
      </c>
      <c r="AC65" s="110" t="n">
        <f aca="false">F65*(H65-I65)</f>
        <v>0</v>
      </c>
      <c r="AD65" s="49"/>
      <c r="AE65" s="124"/>
    </row>
    <row r="66" customFormat="false" ht="12.75" hidden="false" customHeight="false" outlineLevel="0" collapsed="false">
      <c r="A66" s="115" t="n">
        <f aca="false">EDATE(A65,1)</f>
        <v>38961</v>
      </c>
      <c r="B66" s="116" t="n">
        <f aca="false">'Inputs-Summary'!$B$7</f>
        <v>3017157.21662952</v>
      </c>
      <c r="C66" s="57"/>
      <c r="D66" s="117" t="n">
        <f aca="false">B66+C66</f>
        <v>3017157.21662952</v>
      </c>
      <c r="E66" s="106" t="n">
        <f aca="false">IF(Z66=0,0,IF(AND(Z66=1,$H$3=1),D66*U66,IF($H$3=2,D66,"N/A")))</f>
        <v>0</v>
      </c>
      <c r="F66" s="106" t="n">
        <f aca="false">E66*Y66</f>
        <v>0</v>
      </c>
      <c r="G66" s="118" t="n">
        <f aca="false">VLOOKUP($A66,Table,MATCH(G$4,Curves,0))</f>
        <v>3</v>
      </c>
      <c r="H66" s="119" t="n">
        <f aca="false">G66+$H$7</f>
        <v>3</v>
      </c>
      <c r="I66" s="118" t="n">
        <f aca="false">'Inputs-Summary'!$B$16</f>
        <v>1.85</v>
      </c>
      <c r="J66" s="118" t="n">
        <f aca="false">VLOOKUP($A66,Table,MATCH(J$4,Curves,0))</f>
        <v>5</v>
      </c>
      <c r="K66" s="119" t="n">
        <f aca="false">J66+$K$7</f>
        <v>5</v>
      </c>
      <c r="L66" s="120" t="n">
        <f aca="false">K66</f>
        <v>5</v>
      </c>
      <c r="M66" s="118" t="n">
        <f aca="false">VLOOKUP($A66,Table,MATCH(M$4,Curves,0))</f>
        <v>5</v>
      </c>
      <c r="N66" s="119" t="n">
        <f aca="false">M66+$N$7</f>
        <v>5</v>
      </c>
      <c r="O66" s="120" t="n">
        <f aca="false">N66</f>
        <v>5</v>
      </c>
      <c r="P66" s="109"/>
      <c r="Q66" s="120" t="n">
        <f aca="false">IF($F$3=1,M66+J66+G66,J66+G66)</f>
        <v>8</v>
      </c>
      <c r="R66" s="120" t="n">
        <f aca="false">IF($F$3=1,N66+K66+H66,K66+H66)</f>
        <v>8</v>
      </c>
      <c r="S66" s="120" t="n">
        <f aca="false">IF($F$3=1,O66+L66+I66,L66+I66)</f>
        <v>6.85</v>
      </c>
      <c r="T66" s="121"/>
      <c r="U66" s="67" t="n">
        <f aca="false">A67-A66</f>
        <v>30</v>
      </c>
      <c r="V66" s="122" t="n">
        <f aca="false">CHOOSE(F$3,A67+24,A66)</f>
        <v>38961</v>
      </c>
      <c r="W66" s="67" t="n">
        <f aca="false">V66-C$3</f>
        <v>-6965</v>
      </c>
      <c r="X66" s="118" t="n">
        <f aca="false">VLOOKUP($A66,Table,MATCH(X$4,Curves,0))</f>
        <v>2</v>
      </c>
      <c r="Y66" s="123" t="n">
        <f aca="false">1/(1+CHOOSE(F$3,(X67+($K$3/10000))/2,(X66+($K$3/10000))/2))^(2*W66/365.25)</f>
        <v>302524591627.546</v>
      </c>
      <c r="Z66" s="67" t="n">
        <f aca="false">IF(AND(mthbeg&lt;=A66,mthend&gt;=A66),1,0)</f>
        <v>0</v>
      </c>
      <c r="AA66" s="67" t="n">
        <f aca="false">U66*Z66</f>
        <v>0</v>
      </c>
      <c r="AC66" s="110" t="n">
        <f aca="false">F66*(H66-I66)</f>
        <v>0</v>
      </c>
      <c r="AD66" s="49"/>
      <c r="AE66" s="124"/>
    </row>
    <row r="67" customFormat="false" ht="12.75" hidden="false" customHeight="false" outlineLevel="0" collapsed="false">
      <c r="A67" s="115" t="n">
        <f aca="false">EDATE(A66,1)</f>
        <v>38991</v>
      </c>
      <c r="B67" s="116" t="n">
        <f aca="false">'Inputs-Summary'!$B$7</f>
        <v>3017157.21662952</v>
      </c>
      <c r="C67" s="57"/>
      <c r="D67" s="117" t="n">
        <f aca="false">B67+C67</f>
        <v>3017157.21662952</v>
      </c>
      <c r="E67" s="106" t="n">
        <f aca="false">IF(Z67=0,0,IF(AND(Z67=1,$H$3=1),D67*U67,IF($H$3=2,D67,"N/A")))</f>
        <v>0</v>
      </c>
      <c r="F67" s="106" t="n">
        <f aca="false">E67*Y67</f>
        <v>0</v>
      </c>
      <c r="G67" s="118" t="n">
        <f aca="false">VLOOKUP($A67,Table,MATCH(G$4,Curves,0))</f>
        <v>3</v>
      </c>
      <c r="H67" s="119" t="n">
        <f aca="false">G67+$H$7</f>
        <v>3</v>
      </c>
      <c r="I67" s="118" t="n">
        <f aca="false">'Inputs-Summary'!$B$16</f>
        <v>1.85</v>
      </c>
      <c r="J67" s="118" t="n">
        <f aca="false">VLOOKUP($A67,Table,MATCH(J$4,Curves,0))</f>
        <v>5</v>
      </c>
      <c r="K67" s="119" t="n">
        <f aca="false">J67+$K$7</f>
        <v>5</v>
      </c>
      <c r="L67" s="120" t="n">
        <f aca="false">K67</f>
        <v>5</v>
      </c>
      <c r="M67" s="118" t="n">
        <f aca="false">VLOOKUP($A67,Table,MATCH(M$4,Curves,0))</f>
        <v>5</v>
      </c>
      <c r="N67" s="119" t="n">
        <f aca="false">M67+$N$7</f>
        <v>5</v>
      </c>
      <c r="O67" s="120" t="n">
        <f aca="false">N67</f>
        <v>5</v>
      </c>
      <c r="P67" s="109"/>
      <c r="Q67" s="120" t="n">
        <f aca="false">IF($F$3=1,M67+J67+G67,J67+G67)</f>
        <v>8</v>
      </c>
      <c r="R67" s="120" t="n">
        <f aca="false">IF($F$3=1,N67+K67+H67,K67+H67)</f>
        <v>8</v>
      </c>
      <c r="S67" s="120" t="n">
        <f aca="false">IF($F$3=1,O67+L67+I67,L67+I67)</f>
        <v>6.85</v>
      </c>
      <c r="T67" s="121"/>
      <c r="U67" s="67" t="n">
        <f aca="false">A68-A67</f>
        <v>31</v>
      </c>
      <c r="V67" s="122" t="n">
        <f aca="false">CHOOSE(F$3,A68+24,A67)</f>
        <v>38991</v>
      </c>
      <c r="W67" s="67" t="n">
        <f aca="false">V67-C$3</f>
        <v>-6935</v>
      </c>
      <c r="X67" s="118" t="n">
        <f aca="false">VLOOKUP($A67,Table,MATCH(X$4,Curves,0))</f>
        <v>2</v>
      </c>
      <c r="Y67" s="123" t="n">
        <f aca="false">1/(1+CHOOSE(F$3,(X68+($K$3/10000))/2,(X67+($K$3/10000))/2))^(2*W67/365.25)</f>
        <v>269966683129.958</v>
      </c>
      <c r="Z67" s="67" t="n">
        <f aca="false">IF(AND(mthbeg&lt;=A67,mthend&gt;=A67),1,0)</f>
        <v>0</v>
      </c>
      <c r="AA67" s="67" t="n">
        <f aca="false">U67*Z67</f>
        <v>0</v>
      </c>
      <c r="AC67" s="110" t="n">
        <f aca="false">F67*(H67-I67)</f>
        <v>0</v>
      </c>
      <c r="AD67" s="49"/>
      <c r="AE67" s="124"/>
    </row>
    <row r="68" customFormat="false" ht="12.75" hidden="false" customHeight="false" outlineLevel="0" collapsed="false">
      <c r="A68" s="115" t="n">
        <f aca="false">EDATE(A67,1)</f>
        <v>39022</v>
      </c>
      <c r="B68" s="116" t="n">
        <f aca="false">'Inputs-Summary'!$B$7</f>
        <v>3017157.21662952</v>
      </c>
      <c r="C68" s="57"/>
      <c r="D68" s="117" t="n">
        <f aca="false">B68+C68</f>
        <v>3017157.21662952</v>
      </c>
      <c r="E68" s="106" t="n">
        <f aca="false">IF(Z68=0,0,IF(AND(Z68=1,$H$3=1),D68*U68,IF($H$3=2,D68,"N/A")))</f>
        <v>0</v>
      </c>
      <c r="F68" s="106" t="n">
        <f aca="false">E68*Y68</f>
        <v>0</v>
      </c>
      <c r="G68" s="118" t="n">
        <f aca="false">VLOOKUP($A68,Table,MATCH(G$4,Curves,0))</f>
        <v>3</v>
      </c>
      <c r="H68" s="119" t="n">
        <f aca="false">G68+$H$7</f>
        <v>3</v>
      </c>
      <c r="I68" s="118" t="n">
        <f aca="false">'Inputs-Summary'!$B$16</f>
        <v>1.85</v>
      </c>
      <c r="J68" s="118" t="n">
        <f aca="false">VLOOKUP($A68,Table,MATCH(J$4,Curves,0))</f>
        <v>5</v>
      </c>
      <c r="K68" s="119" t="n">
        <f aca="false">J68+$K$7</f>
        <v>5</v>
      </c>
      <c r="L68" s="120" t="n">
        <f aca="false">K68</f>
        <v>5</v>
      </c>
      <c r="M68" s="118" t="n">
        <f aca="false">VLOOKUP($A68,Table,MATCH(M$4,Curves,0))</f>
        <v>5</v>
      </c>
      <c r="N68" s="119" t="n">
        <f aca="false">M68+$N$7</f>
        <v>5</v>
      </c>
      <c r="O68" s="120" t="n">
        <f aca="false">N68</f>
        <v>5</v>
      </c>
      <c r="P68" s="109"/>
      <c r="Q68" s="120" t="n">
        <f aca="false">IF($F$3=1,M68+J68+G68,J68+G68)</f>
        <v>8</v>
      </c>
      <c r="R68" s="120" t="n">
        <f aca="false">IF($F$3=1,N68+K68+H68,K68+H68)</f>
        <v>8</v>
      </c>
      <c r="S68" s="120" t="n">
        <f aca="false">IF($F$3=1,O68+L68+I68,L68+I68)</f>
        <v>6.85</v>
      </c>
      <c r="T68" s="121"/>
      <c r="U68" s="67" t="n">
        <f aca="false">A69-A68</f>
        <v>30</v>
      </c>
      <c r="V68" s="122" t="n">
        <f aca="false">CHOOSE(F$3,A69+24,A68)</f>
        <v>39022</v>
      </c>
      <c r="W68" s="67" t="n">
        <f aca="false">V68-C$3</f>
        <v>-6904</v>
      </c>
      <c r="X68" s="118" t="n">
        <f aca="false">VLOOKUP($A68,Table,MATCH(X$4,Curves,0))</f>
        <v>2</v>
      </c>
      <c r="Y68" s="123" t="n">
        <f aca="false">1/(1+CHOOSE(F$3,(X69+($K$3/10000))/2,(X68+($K$3/10000))/2))^(2*W68/365.25)</f>
        <v>240000036452.659</v>
      </c>
      <c r="Z68" s="67" t="n">
        <f aca="false">IF(AND(mthbeg&lt;=A68,mthend&gt;=A68),1,0)</f>
        <v>0</v>
      </c>
      <c r="AA68" s="67" t="n">
        <f aca="false">U68*Z68</f>
        <v>0</v>
      </c>
      <c r="AC68" s="110" t="n">
        <f aca="false">F68*(H68-I68)</f>
        <v>0</v>
      </c>
      <c r="AD68" s="49"/>
      <c r="AE68" s="124"/>
    </row>
    <row r="69" customFormat="false" ht="12.75" hidden="false" customHeight="false" outlineLevel="0" collapsed="false">
      <c r="A69" s="115" t="n">
        <f aca="false">EDATE(A68,1)</f>
        <v>39052</v>
      </c>
      <c r="B69" s="116" t="n">
        <f aca="false">'Inputs-Summary'!$B$7</f>
        <v>3017157.21662952</v>
      </c>
      <c r="C69" s="57"/>
      <c r="D69" s="117" t="n">
        <f aca="false">B69+C69</f>
        <v>3017157.21662952</v>
      </c>
      <c r="E69" s="106" t="n">
        <f aca="false">IF(Z69=0,0,IF(AND(Z69=1,$H$3=1),D69*U69,IF($H$3=2,D69,"N/A")))</f>
        <v>0</v>
      </c>
      <c r="F69" s="106" t="n">
        <f aca="false">E69*Y69</f>
        <v>0</v>
      </c>
      <c r="G69" s="118" t="n">
        <f aca="false">VLOOKUP($A69,Table,MATCH(G$4,Curves,0))</f>
        <v>3</v>
      </c>
      <c r="H69" s="119" t="n">
        <f aca="false">G69+$H$7</f>
        <v>3</v>
      </c>
      <c r="I69" s="118" t="n">
        <f aca="false">'Inputs-Summary'!$B$16</f>
        <v>1.85</v>
      </c>
      <c r="J69" s="118" t="n">
        <f aca="false">VLOOKUP($A69,Table,MATCH(J$4,Curves,0))</f>
        <v>5</v>
      </c>
      <c r="K69" s="119" t="n">
        <f aca="false">J69+$K$7</f>
        <v>5</v>
      </c>
      <c r="L69" s="120" t="n">
        <f aca="false">K69</f>
        <v>5</v>
      </c>
      <c r="M69" s="118" t="n">
        <f aca="false">VLOOKUP($A69,Table,MATCH(M$4,Curves,0))</f>
        <v>5</v>
      </c>
      <c r="N69" s="119" t="n">
        <f aca="false">M69+$N$7</f>
        <v>5</v>
      </c>
      <c r="O69" s="120" t="n">
        <f aca="false">N69</f>
        <v>5</v>
      </c>
      <c r="P69" s="109"/>
      <c r="Q69" s="120" t="n">
        <f aca="false">IF($F$3=1,M69+J69+G69,J69+G69)</f>
        <v>8</v>
      </c>
      <c r="R69" s="120" t="n">
        <f aca="false">IF($F$3=1,N69+K69+H69,K69+H69)</f>
        <v>8</v>
      </c>
      <c r="S69" s="120" t="n">
        <f aca="false">IF($F$3=1,O69+L69+I69,L69+I69)</f>
        <v>6.85</v>
      </c>
      <c r="T69" s="121"/>
      <c r="U69" s="67" t="n">
        <f aca="false">A70-A69</f>
        <v>31</v>
      </c>
      <c r="V69" s="122" t="n">
        <f aca="false">CHOOSE(F$3,A70+24,A69)</f>
        <v>39052</v>
      </c>
      <c r="W69" s="67" t="n">
        <f aca="false">V69-C$3</f>
        <v>-6874</v>
      </c>
      <c r="X69" s="118" t="n">
        <f aca="false">VLOOKUP($A69,Table,MATCH(X$4,Curves,0))</f>
        <v>2</v>
      </c>
      <c r="Y69" s="123" t="n">
        <f aca="false">1/(1+CHOOSE(F$3,(X70+($K$3/10000))/2,(X69+($K$3/10000))/2))^(2*W69/365.25)</f>
        <v>214171064387.262</v>
      </c>
      <c r="Z69" s="67" t="n">
        <f aca="false">IF(AND(mthbeg&lt;=A69,mthend&gt;=A69),1,0)</f>
        <v>0</v>
      </c>
      <c r="AA69" s="67" t="n">
        <f aca="false">U69*Z69</f>
        <v>0</v>
      </c>
      <c r="AC69" s="110" t="n">
        <f aca="false">F69*(H69-I69)</f>
        <v>0</v>
      </c>
      <c r="AD69" s="49"/>
      <c r="AE69" s="124"/>
    </row>
    <row r="70" customFormat="false" ht="12.75" hidden="false" customHeight="false" outlineLevel="0" collapsed="false">
      <c r="A70" s="115" t="n">
        <f aca="false">EDATE(A69,1)</f>
        <v>39083</v>
      </c>
      <c r="B70" s="116" t="n">
        <f aca="false">'Inputs-Summary'!$B$7</f>
        <v>3017157.21662952</v>
      </c>
      <c r="C70" s="57"/>
      <c r="D70" s="117" t="n">
        <f aca="false">B70+C70</f>
        <v>3017157.21662952</v>
      </c>
      <c r="E70" s="106" t="n">
        <f aca="false">IF(Z70=0,0,IF(AND(Z70=1,$H$3=1),D70*U70,IF($H$3=2,D70,"N/A")))</f>
        <v>0</v>
      </c>
      <c r="F70" s="106" t="n">
        <f aca="false">E70*Y70</f>
        <v>0</v>
      </c>
      <c r="G70" s="118" t="n">
        <f aca="false">VLOOKUP($A70,Table,MATCH(G$4,Curves,0))</f>
        <v>3</v>
      </c>
      <c r="H70" s="119" t="n">
        <f aca="false">G70+$H$7</f>
        <v>3</v>
      </c>
      <c r="I70" s="118" t="n">
        <f aca="false">'Inputs-Summary'!$B$16</f>
        <v>1.85</v>
      </c>
      <c r="J70" s="118" t="n">
        <f aca="false">VLOOKUP($A70,Table,MATCH(J$4,Curves,0))</f>
        <v>5</v>
      </c>
      <c r="K70" s="119" t="n">
        <f aca="false">J70+$K$7</f>
        <v>5</v>
      </c>
      <c r="L70" s="120" t="n">
        <f aca="false">K70</f>
        <v>5</v>
      </c>
      <c r="M70" s="118" t="n">
        <f aca="false">VLOOKUP($A70,Table,MATCH(M$4,Curves,0))</f>
        <v>5</v>
      </c>
      <c r="N70" s="119" t="n">
        <f aca="false">M70+$N$7</f>
        <v>5</v>
      </c>
      <c r="O70" s="120" t="n">
        <f aca="false">N70</f>
        <v>5</v>
      </c>
      <c r="P70" s="109"/>
      <c r="Q70" s="120" t="n">
        <f aca="false">IF($F$3=1,M70+J70+G70,J70+G70)</f>
        <v>8</v>
      </c>
      <c r="R70" s="120" t="n">
        <f aca="false">IF($F$3=1,N70+K70+H70,K70+H70)</f>
        <v>8</v>
      </c>
      <c r="S70" s="120" t="n">
        <f aca="false">IF($F$3=1,O70+L70+I70,L70+I70)</f>
        <v>6.85</v>
      </c>
      <c r="T70" s="121"/>
      <c r="U70" s="67" t="n">
        <f aca="false">A71-A70</f>
        <v>31</v>
      </c>
      <c r="V70" s="122" t="n">
        <f aca="false">CHOOSE(F$3,A71+24,A70)</f>
        <v>39083</v>
      </c>
      <c r="W70" s="67" t="n">
        <f aca="false">V70-C$3</f>
        <v>-6843</v>
      </c>
      <c r="X70" s="118" t="n">
        <f aca="false">VLOOKUP($A70,Table,MATCH(X$4,Curves,0))</f>
        <v>2</v>
      </c>
      <c r="Y70" s="123" t="n">
        <f aca="false">1/(1+CHOOSE(F$3,(X71+($K$3/10000))/2,(X70+($K$3/10000))/2))^(2*W70/365.25)</f>
        <v>190397802662.575</v>
      </c>
      <c r="Z70" s="67" t="n">
        <f aca="false">IF(AND(mthbeg&lt;=A70,mthend&gt;=A70),1,0)</f>
        <v>0</v>
      </c>
      <c r="AA70" s="67" t="n">
        <f aca="false">U70*Z70</f>
        <v>0</v>
      </c>
      <c r="AC70" s="110" t="n">
        <f aca="false">F70*(H70-I70)</f>
        <v>0</v>
      </c>
      <c r="AD70" s="49"/>
      <c r="AE70" s="124"/>
    </row>
    <row r="71" customFormat="false" ht="12.75" hidden="false" customHeight="false" outlineLevel="0" collapsed="false">
      <c r="A71" s="115" t="n">
        <f aca="false">EDATE(A70,1)</f>
        <v>39114</v>
      </c>
      <c r="B71" s="116" t="n">
        <f aca="false">'Inputs-Summary'!$B$7</f>
        <v>3017157.21662952</v>
      </c>
      <c r="C71" s="57"/>
      <c r="D71" s="117" t="n">
        <f aca="false">B71+C71</f>
        <v>3017157.21662952</v>
      </c>
      <c r="E71" s="106" t="n">
        <f aca="false">IF(Z71=0,0,IF(AND(Z71=1,$H$3=1),D71*U71,IF($H$3=2,D71,"N/A")))</f>
        <v>0</v>
      </c>
      <c r="F71" s="106" t="n">
        <f aca="false">E71*Y71</f>
        <v>0</v>
      </c>
      <c r="G71" s="118" t="n">
        <f aca="false">VLOOKUP($A71,Table,MATCH(G$4,Curves,0))</f>
        <v>3</v>
      </c>
      <c r="H71" s="119" t="n">
        <f aca="false">G71+$H$7</f>
        <v>3</v>
      </c>
      <c r="I71" s="118" t="n">
        <f aca="false">'Inputs-Summary'!$B$16</f>
        <v>1.85</v>
      </c>
      <c r="J71" s="118" t="n">
        <f aca="false">VLOOKUP($A71,Table,MATCH(J$4,Curves,0))</f>
        <v>5</v>
      </c>
      <c r="K71" s="119" t="n">
        <f aca="false">J71+$K$7</f>
        <v>5</v>
      </c>
      <c r="L71" s="120" t="n">
        <f aca="false">K71</f>
        <v>5</v>
      </c>
      <c r="M71" s="118" t="n">
        <f aca="false">VLOOKUP($A71,Table,MATCH(M$4,Curves,0))</f>
        <v>5</v>
      </c>
      <c r="N71" s="119" t="n">
        <f aca="false">M71+$N$7</f>
        <v>5</v>
      </c>
      <c r="O71" s="120" t="n">
        <f aca="false">N71</f>
        <v>5</v>
      </c>
      <c r="P71" s="109"/>
      <c r="Q71" s="120" t="n">
        <f aca="false">IF($F$3=1,M71+J71+G71,J71+G71)</f>
        <v>8</v>
      </c>
      <c r="R71" s="120" t="n">
        <f aca="false">IF($F$3=1,N71+K71+H71,K71+H71)</f>
        <v>8</v>
      </c>
      <c r="S71" s="120" t="n">
        <f aca="false">IF($F$3=1,O71+L71+I71,L71+I71)</f>
        <v>6.85</v>
      </c>
      <c r="T71" s="121"/>
      <c r="U71" s="67" t="n">
        <f aca="false">A72-A71</f>
        <v>28</v>
      </c>
      <c r="V71" s="122" t="n">
        <f aca="false">CHOOSE(F$3,A72+24,A71)</f>
        <v>39114</v>
      </c>
      <c r="W71" s="67" t="n">
        <f aca="false">V71-C$3</f>
        <v>-6812</v>
      </c>
      <c r="X71" s="118" t="n">
        <f aca="false">VLOOKUP($A71,Table,MATCH(X$4,Curves,0))</f>
        <v>2</v>
      </c>
      <c r="Y71" s="123" t="n">
        <f aca="false">1/(1+CHOOSE(F$3,(X72+($K$3/10000))/2,(X71+($K$3/10000))/2))^(2*W71/365.25)</f>
        <v>169263403356.803</v>
      </c>
      <c r="Z71" s="67" t="n">
        <f aca="false">IF(AND(mthbeg&lt;=A71,mthend&gt;=A71),1,0)</f>
        <v>0</v>
      </c>
      <c r="AA71" s="67" t="n">
        <f aca="false">U71*Z71</f>
        <v>0</v>
      </c>
      <c r="AC71" s="110" t="n">
        <f aca="false">F71*(H71-I71)</f>
        <v>0</v>
      </c>
      <c r="AD71" s="49"/>
      <c r="AE71" s="124"/>
    </row>
    <row r="72" customFormat="false" ht="12.75" hidden="false" customHeight="false" outlineLevel="0" collapsed="false">
      <c r="A72" s="115" t="n">
        <f aca="false">EDATE(A71,1)</f>
        <v>39142</v>
      </c>
      <c r="B72" s="116" t="n">
        <f aca="false">'Inputs-Summary'!$B$7</f>
        <v>3017157.21662952</v>
      </c>
      <c r="C72" s="57"/>
      <c r="D72" s="117" t="n">
        <f aca="false">B72+C72</f>
        <v>3017157.21662952</v>
      </c>
      <c r="E72" s="106" t="n">
        <f aca="false">IF(Z72=0,0,IF(AND(Z72=1,$H$3=1),D72*U72,IF($H$3=2,D72,"N/A")))</f>
        <v>0</v>
      </c>
      <c r="F72" s="106" t="n">
        <f aca="false">E72*Y72</f>
        <v>0</v>
      </c>
      <c r="G72" s="118" t="n">
        <f aca="false">VLOOKUP($A72,Table,MATCH(G$4,Curves,0))</f>
        <v>3</v>
      </c>
      <c r="H72" s="119" t="n">
        <f aca="false">G72+$H$7</f>
        <v>3</v>
      </c>
      <c r="I72" s="118" t="n">
        <f aca="false">'Inputs-Summary'!$B$16</f>
        <v>1.85</v>
      </c>
      <c r="J72" s="118" t="n">
        <f aca="false">VLOOKUP($A72,Table,MATCH(J$4,Curves,0))</f>
        <v>5</v>
      </c>
      <c r="K72" s="119" t="n">
        <f aca="false">J72+$K$7</f>
        <v>5</v>
      </c>
      <c r="L72" s="120" t="n">
        <f aca="false">K72</f>
        <v>5</v>
      </c>
      <c r="M72" s="118" t="n">
        <f aca="false">VLOOKUP($A72,Table,MATCH(M$4,Curves,0))</f>
        <v>5</v>
      </c>
      <c r="N72" s="119" t="n">
        <f aca="false">M72+$N$7</f>
        <v>5</v>
      </c>
      <c r="O72" s="120" t="n">
        <f aca="false">N72</f>
        <v>5</v>
      </c>
      <c r="P72" s="109"/>
      <c r="Q72" s="120" t="n">
        <f aca="false">IF($F$3=1,M72+J72+G72,J72+G72)</f>
        <v>8</v>
      </c>
      <c r="R72" s="120" t="n">
        <f aca="false">IF($F$3=1,N72+K72+H72,K72+H72)</f>
        <v>8</v>
      </c>
      <c r="S72" s="120" t="n">
        <f aca="false">IF($F$3=1,O72+L72+I72,L72+I72)</f>
        <v>6.85</v>
      </c>
      <c r="T72" s="121"/>
      <c r="U72" s="67" t="n">
        <f aca="false">A73-A72</f>
        <v>31</v>
      </c>
      <c r="V72" s="122" t="n">
        <f aca="false">CHOOSE(F$3,A73+24,A72)</f>
        <v>39142</v>
      </c>
      <c r="W72" s="67" t="n">
        <f aca="false">V72-C$3</f>
        <v>-6784</v>
      </c>
      <c r="X72" s="118" t="n">
        <f aca="false">VLOOKUP($A72,Table,MATCH(X$4,Curves,0))</f>
        <v>2</v>
      </c>
      <c r="Y72" s="123" t="n">
        <f aca="false">1/(1+CHOOSE(F$3,(X73+($K$3/10000))/2,(X72+($K$3/10000))/2))^(2*W72/365.25)</f>
        <v>152198109210.721</v>
      </c>
      <c r="Z72" s="67" t="n">
        <f aca="false">IF(AND(mthbeg&lt;=A72,mthend&gt;=A72),1,0)</f>
        <v>0</v>
      </c>
      <c r="AA72" s="67" t="n">
        <f aca="false">U72*Z72</f>
        <v>0</v>
      </c>
      <c r="AC72" s="110" t="n">
        <f aca="false">F72*(H72-I72)</f>
        <v>0</v>
      </c>
      <c r="AD72" s="49"/>
      <c r="AE72" s="124"/>
    </row>
    <row r="73" customFormat="false" ht="12.75" hidden="false" customHeight="false" outlineLevel="0" collapsed="false">
      <c r="A73" s="115" t="n">
        <f aca="false">EDATE(A72,1)</f>
        <v>39173</v>
      </c>
      <c r="B73" s="116" t="n">
        <f aca="false">'Inputs-Summary'!$B$7</f>
        <v>3017157.21662952</v>
      </c>
      <c r="C73" s="57"/>
      <c r="D73" s="117" t="n">
        <f aca="false">B73+C73</f>
        <v>3017157.21662952</v>
      </c>
      <c r="E73" s="106" t="n">
        <f aca="false">IF(Z73=0,0,IF(AND(Z73=1,$H$3=1),D73*U73,IF($H$3=2,D73,"N/A")))</f>
        <v>0</v>
      </c>
      <c r="F73" s="106" t="n">
        <f aca="false">E73*Y73</f>
        <v>0</v>
      </c>
      <c r="G73" s="118" t="n">
        <f aca="false">VLOOKUP($A73,Table,MATCH(G$4,Curves,0))</f>
        <v>3</v>
      </c>
      <c r="H73" s="119" t="n">
        <f aca="false">G73+$H$7</f>
        <v>3</v>
      </c>
      <c r="I73" s="118" t="n">
        <f aca="false">'Inputs-Summary'!$B$16</f>
        <v>1.85</v>
      </c>
      <c r="J73" s="118" t="n">
        <f aca="false">VLOOKUP($A73,Table,MATCH(J$4,Curves,0))</f>
        <v>5</v>
      </c>
      <c r="K73" s="119" t="n">
        <f aca="false">J73+$K$7</f>
        <v>5</v>
      </c>
      <c r="L73" s="120" t="n">
        <f aca="false">K73</f>
        <v>5</v>
      </c>
      <c r="M73" s="118" t="n">
        <f aca="false">VLOOKUP($A73,Table,MATCH(M$4,Curves,0))</f>
        <v>5</v>
      </c>
      <c r="N73" s="119" t="n">
        <f aca="false">M73+$N$7</f>
        <v>5</v>
      </c>
      <c r="O73" s="120" t="n">
        <f aca="false">N73</f>
        <v>5</v>
      </c>
      <c r="P73" s="109"/>
      <c r="Q73" s="120" t="n">
        <f aca="false">IF($F$3=1,M73+J73+G73,J73+G73)</f>
        <v>8</v>
      </c>
      <c r="R73" s="120" t="n">
        <f aca="false">IF($F$3=1,N73+K73+H73,K73+H73)</f>
        <v>8</v>
      </c>
      <c r="S73" s="120" t="n">
        <f aca="false">IF($F$3=1,O73+L73+I73,L73+I73)</f>
        <v>6.85</v>
      </c>
      <c r="T73" s="121"/>
      <c r="U73" s="67" t="n">
        <f aca="false">A74-A73</f>
        <v>30</v>
      </c>
      <c r="V73" s="122" t="n">
        <f aca="false">CHOOSE(F$3,A74+24,A73)</f>
        <v>39173</v>
      </c>
      <c r="W73" s="67" t="n">
        <f aca="false">V73-C$3</f>
        <v>-6753</v>
      </c>
      <c r="X73" s="118" t="n">
        <f aca="false">VLOOKUP($A73,Table,MATCH(X$4,Curves,0))</f>
        <v>2</v>
      </c>
      <c r="Y73" s="123" t="n">
        <f aca="false">1/(1+CHOOSE(F$3,(X74+($K$3/10000))/2,(X73+($K$3/10000))/2))^(2*W73/365.25)</f>
        <v>135303924673.605</v>
      </c>
      <c r="Z73" s="67" t="n">
        <f aca="false">IF(AND(mthbeg&lt;=A73,mthend&gt;=A73),1,0)</f>
        <v>0</v>
      </c>
      <c r="AA73" s="67" t="n">
        <f aca="false">U73*Z73</f>
        <v>0</v>
      </c>
      <c r="AC73" s="110" t="n">
        <f aca="false">F73*(H73-I73)</f>
        <v>0</v>
      </c>
      <c r="AD73" s="49"/>
      <c r="AE73" s="124"/>
    </row>
    <row r="74" customFormat="false" ht="12.75" hidden="false" customHeight="false" outlineLevel="0" collapsed="false">
      <c r="A74" s="115" t="n">
        <f aca="false">EDATE(A73,1)</f>
        <v>39203</v>
      </c>
      <c r="B74" s="116" t="n">
        <f aca="false">'Inputs-Summary'!$B$7</f>
        <v>3017157.21662952</v>
      </c>
      <c r="C74" s="57"/>
      <c r="D74" s="117" t="n">
        <f aca="false">B74+C74</f>
        <v>3017157.21662952</v>
      </c>
      <c r="E74" s="106" t="n">
        <f aca="false">IF(Z74=0,0,IF(AND(Z74=1,$H$3=1),D74*U74,IF($H$3=2,D74,"N/A")))</f>
        <v>0</v>
      </c>
      <c r="F74" s="106" t="n">
        <f aca="false">E74*Y74</f>
        <v>0</v>
      </c>
      <c r="G74" s="118" t="n">
        <f aca="false">VLOOKUP($A74,Table,MATCH(G$4,Curves,0))</f>
        <v>3</v>
      </c>
      <c r="H74" s="119" t="n">
        <f aca="false">G74+$H$7</f>
        <v>3</v>
      </c>
      <c r="I74" s="118" t="n">
        <f aca="false">'Inputs-Summary'!$B$16</f>
        <v>1.85</v>
      </c>
      <c r="J74" s="118" t="n">
        <f aca="false">VLOOKUP($A74,Table,MATCH(J$4,Curves,0))</f>
        <v>5</v>
      </c>
      <c r="K74" s="119" t="n">
        <f aca="false">J74+$K$7</f>
        <v>5</v>
      </c>
      <c r="L74" s="120" t="n">
        <f aca="false">K74</f>
        <v>5</v>
      </c>
      <c r="M74" s="118" t="n">
        <f aca="false">VLOOKUP($A74,Table,MATCH(M$4,Curves,0))</f>
        <v>5</v>
      </c>
      <c r="N74" s="119" t="n">
        <f aca="false">M74+$N$7</f>
        <v>5</v>
      </c>
      <c r="O74" s="120" t="n">
        <f aca="false">N74</f>
        <v>5</v>
      </c>
      <c r="P74" s="109"/>
      <c r="Q74" s="120" t="n">
        <f aca="false">IF($F$3=1,M74+J74+G74,J74+G74)</f>
        <v>8</v>
      </c>
      <c r="R74" s="120" t="n">
        <f aca="false">IF($F$3=1,N74+K74+H74,K74+H74)</f>
        <v>8</v>
      </c>
      <c r="S74" s="120" t="n">
        <f aca="false">IF($F$3=1,O74+L74+I74,L74+I74)</f>
        <v>6.85</v>
      </c>
      <c r="T74" s="121"/>
      <c r="U74" s="67" t="n">
        <f aca="false">A75-A74</f>
        <v>31</v>
      </c>
      <c r="V74" s="122" t="n">
        <f aca="false">CHOOSE(F$3,A75+24,A74)</f>
        <v>39203</v>
      </c>
      <c r="W74" s="67" t="n">
        <f aca="false">V74-C$3</f>
        <v>-6723</v>
      </c>
      <c r="X74" s="118" t="n">
        <f aca="false">VLOOKUP($A74,Table,MATCH(X$4,Curves,0))</f>
        <v>2</v>
      </c>
      <c r="Y74" s="123" t="n">
        <f aca="false">1/(1+CHOOSE(F$3,(X75+($K$3/10000))/2,(X74+($K$3/10000))/2))^(2*W74/365.25)</f>
        <v>120742421507.24</v>
      </c>
      <c r="Z74" s="67" t="n">
        <f aca="false">IF(AND(mthbeg&lt;=A74,mthend&gt;=A74),1,0)</f>
        <v>0</v>
      </c>
      <c r="AA74" s="67" t="n">
        <f aca="false">U74*Z74</f>
        <v>0</v>
      </c>
      <c r="AC74" s="110" t="n">
        <f aca="false">F74*(H74-I74)</f>
        <v>0</v>
      </c>
      <c r="AD74" s="49"/>
      <c r="AE74" s="124"/>
    </row>
    <row r="75" customFormat="false" ht="12.75" hidden="false" customHeight="false" outlineLevel="0" collapsed="false">
      <c r="A75" s="115" t="n">
        <f aca="false">EDATE(A74,1)</f>
        <v>39234</v>
      </c>
      <c r="B75" s="116" t="n">
        <f aca="false">'Inputs-Summary'!$B$7</f>
        <v>3017157.21662952</v>
      </c>
      <c r="C75" s="57"/>
      <c r="D75" s="117" t="n">
        <f aca="false">B75+C75</f>
        <v>3017157.21662952</v>
      </c>
      <c r="E75" s="106" t="n">
        <f aca="false">IF(Z75=0,0,IF(AND(Z75=1,$H$3=1),D75*U75,IF($H$3=2,D75,"N/A")))</f>
        <v>0</v>
      </c>
      <c r="F75" s="106" t="n">
        <f aca="false">E75*Y75</f>
        <v>0</v>
      </c>
      <c r="G75" s="118" t="n">
        <f aca="false">VLOOKUP($A75,Table,MATCH(G$4,Curves,0))</f>
        <v>3</v>
      </c>
      <c r="H75" s="119" t="n">
        <f aca="false">G75+$H$7</f>
        <v>3</v>
      </c>
      <c r="I75" s="118" t="n">
        <f aca="false">'Inputs-Summary'!$B$16</f>
        <v>1.85</v>
      </c>
      <c r="J75" s="118" t="n">
        <f aca="false">VLOOKUP($A75,Table,MATCH(J$4,Curves,0))</f>
        <v>5</v>
      </c>
      <c r="K75" s="119" t="n">
        <f aca="false">J75+$K$7</f>
        <v>5</v>
      </c>
      <c r="L75" s="120" t="n">
        <f aca="false">K75</f>
        <v>5</v>
      </c>
      <c r="M75" s="118" t="n">
        <f aca="false">VLOOKUP($A75,Table,MATCH(M$4,Curves,0))</f>
        <v>5</v>
      </c>
      <c r="N75" s="119" t="n">
        <f aca="false">M75+$N$7</f>
        <v>5</v>
      </c>
      <c r="O75" s="120" t="n">
        <f aca="false">N75</f>
        <v>5</v>
      </c>
      <c r="P75" s="109"/>
      <c r="Q75" s="120" t="n">
        <f aca="false">IF($F$3=1,M75+J75+G75,J75+G75)</f>
        <v>8</v>
      </c>
      <c r="R75" s="120" t="n">
        <f aca="false">IF($F$3=1,N75+K75+H75,K75+H75)</f>
        <v>8</v>
      </c>
      <c r="S75" s="120" t="n">
        <f aca="false">IF($F$3=1,O75+L75+I75,L75+I75)</f>
        <v>6.85</v>
      </c>
      <c r="T75" s="121"/>
      <c r="U75" s="67" t="n">
        <f aca="false">A76-A75</f>
        <v>30</v>
      </c>
      <c r="V75" s="122" t="n">
        <f aca="false">CHOOSE(F$3,A76+24,A75)</f>
        <v>39234</v>
      </c>
      <c r="W75" s="67" t="n">
        <f aca="false">V75-C$3</f>
        <v>-6692</v>
      </c>
      <c r="X75" s="118" t="n">
        <f aca="false">VLOOKUP($A75,Table,MATCH(X$4,Curves,0))</f>
        <v>2</v>
      </c>
      <c r="Y75" s="123" t="n">
        <f aca="false">1/(1+CHOOSE(F$3,(X76+($K$3/10000))/2,(X75+($K$3/10000))/2))^(2*W75/365.25)</f>
        <v>107339858486.057</v>
      </c>
      <c r="Z75" s="67" t="n">
        <f aca="false">IF(AND(mthbeg&lt;=A75,mthend&gt;=A75),1,0)</f>
        <v>0</v>
      </c>
      <c r="AA75" s="67" t="n">
        <f aca="false">U75*Z75</f>
        <v>0</v>
      </c>
      <c r="AC75" s="110" t="n">
        <f aca="false">F75*(H75-I75)</f>
        <v>0</v>
      </c>
      <c r="AD75" s="49"/>
      <c r="AE75" s="124"/>
    </row>
    <row r="76" customFormat="false" ht="12.75" hidden="false" customHeight="false" outlineLevel="0" collapsed="false">
      <c r="A76" s="115" t="n">
        <f aca="false">EDATE(A75,1)</f>
        <v>39264</v>
      </c>
      <c r="B76" s="116" t="n">
        <f aca="false">'Inputs-Summary'!$B$7</f>
        <v>3017157.21662952</v>
      </c>
      <c r="C76" s="57"/>
      <c r="D76" s="117" t="n">
        <f aca="false">B76+C76</f>
        <v>3017157.21662952</v>
      </c>
      <c r="E76" s="106" t="n">
        <f aca="false">IF(Z76=0,0,IF(AND(Z76=1,$H$3=1),D76*U76,IF($H$3=2,D76,"N/A")))</f>
        <v>0</v>
      </c>
      <c r="F76" s="106" t="n">
        <f aca="false">E76*Y76</f>
        <v>0</v>
      </c>
      <c r="G76" s="118" t="n">
        <f aca="false">VLOOKUP($A76,Table,MATCH(G$4,Curves,0))</f>
        <v>3</v>
      </c>
      <c r="H76" s="119" t="n">
        <f aca="false">G76+$H$7</f>
        <v>3</v>
      </c>
      <c r="I76" s="118" t="n">
        <f aca="false">'Inputs-Summary'!$B$16</f>
        <v>1.85</v>
      </c>
      <c r="J76" s="118" t="n">
        <f aca="false">VLOOKUP($A76,Table,MATCH(J$4,Curves,0))</f>
        <v>5</v>
      </c>
      <c r="K76" s="119" t="n">
        <f aca="false">J76+$K$7</f>
        <v>5</v>
      </c>
      <c r="L76" s="120" t="n">
        <f aca="false">K76</f>
        <v>5</v>
      </c>
      <c r="M76" s="118" t="n">
        <f aca="false">VLOOKUP($A76,Table,MATCH(M$4,Curves,0))</f>
        <v>5</v>
      </c>
      <c r="N76" s="119" t="n">
        <f aca="false">M76+$N$7</f>
        <v>5</v>
      </c>
      <c r="O76" s="120" t="n">
        <f aca="false">N76</f>
        <v>5</v>
      </c>
      <c r="P76" s="109"/>
      <c r="Q76" s="120" t="n">
        <f aca="false">IF($F$3=1,M76+J76+G76,J76+G76)</f>
        <v>8</v>
      </c>
      <c r="R76" s="120" t="n">
        <f aca="false">IF($F$3=1,N76+K76+H76,K76+H76)</f>
        <v>8</v>
      </c>
      <c r="S76" s="120" t="n">
        <f aca="false">IF($F$3=1,O76+L76+I76,L76+I76)</f>
        <v>6.85</v>
      </c>
      <c r="T76" s="121"/>
      <c r="U76" s="67" t="n">
        <f aca="false">A77-A76</f>
        <v>31</v>
      </c>
      <c r="V76" s="122" t="n">
        <f aca="false">CHOOSE(F$3,A77+24,A76)</f>
        <v>39264</v>
      </c>
      <c r="W76" s="67" t="n">
        <f aca="false">V76-C$3</f>
        <v>-6662</v>
      </c>
      <c r="X76" s="118" t="n">
        <f aca="false">VLOOKUP($A76,Table,MATCH(X$4,Curves,0))</f>
        <v>2</v>
      </c>
      <c r="Y76" s="123" t="n">
        <f aca="false">1/(1+CHOOSE(F$3,(X77+($K$3/10000))/2,(X76+($K$3/10000))/2))^(2*W76/365.25)</f>
        <v>95787867714.2268</v>
      </c>
      <c r="Z76" s="67" t="n">
        <f aca="false">IF(AND(mthbeg&lt;=A76,mthend&gt;=A76),1,0)</f>
        <v>0</v>
      </c>
      <c r="AA76" s="67" t="n">
        <f aca="false">U76*Z76</f>
        <v>0</v>
      </c>
      <c r="AC76" s="110" t="n">
        <f aca="false">F76*(H76-I76)</f>
        <v>0</v>
      </c>
      <c r="AD76" s="49"/>
      <c r="AE76" s="124"/>
    </row>
    <row r="77" customFormat="false" ht="12.75" hidden="false" customHeight="false" outlineLevel="0" collapsed="false">
      <c r="A77" s="115" t="n">
        <f aca="false">EDATE(A76,1)</f>
        <v>39295</v>
      </c>
      <c r="B77" s="116" t="n">
        <f aca="false">'Inputs-Summary'!$B$7</f>
        <v>3017157.21662952</v>
      </c>
      <c r="C77" s="57"/>
      <c r="D77" s="117" t="n">
        <f aca="false">B77+C77</f>
        <v>3017157.21662952</v>
      </c>
      <c r="E77" s="106" t="n">
        <f aca="false">IF(Z77=0,0,IF(AND(Z77=1,$H$3=1),D77*U77,IF($H$3=2,D77,"N/A")))</f>
        <v>0</v>
      </c>
      <c r="F77" s="106" t="n">
        <f aca="false">E77*Y77</f>
        <v>0</v>
      </c>
      <c r="G77" s="118" t="n">
        <f aca="false">VLOOKUP($A77,Table,MATCH(G$4,Curves,0))</f>
        <v>3</v>
      </c>
      <c r="H77" s="119" t="n">
        <f aca="false">G77+$H$7</f>
        <v>3</v>
      </c>
      <c r="I77" s="118" t="n">
        <f aca="false">'Inputs-Summary'!$B$16</f>
        <v>1.85</v>
      </c>
      <c r="J77" s="118" t="n">
        <f aca="false">VLOOKUP($A77,Table,MATCH(J$4,Curves,0))</f>
        <v>5</v>
      </c>
      <c r="K77" s="119" t="n">
        <f aca="false">J77+$K$7</f>
        <v>5</v>
      </c>
      <c r="L77" s="120" t="n">
        <f aca="false">K77</f>
        <v>5</v>
      </c>
      <c r="M77" s="118" t="n">
        <f aca="false">VLOOKUP($A77,Table,MATCH(M$4,Curves,0))</f>
        <v>5</v>
      </c>
      <c r="N77" s="119" t="n">
        <f aca="false">M77+$N$7</f>
        <v>5</v>
      </c>
      <c r="O77" s="120" t="n">
        <f aca="false">N77</f>
        <v>5</v>
      </c>
      <c r="P77" s="109"/>
      <c r="Q77" s="120" t="n">
        <f aca="false">IF($F$3=1,M77+J77+G77,J77+G77)</f>
        <v>8</v>
      </c>
      <c r="R77" s="120" t="n">
        <f aca="false">IF($F$3=1,N77+K77+H77,K77+H77)</f>
        <v>8</v>
      </c>
      <c r="S77" s="120" t="n">
        <f aca="false">IF($F$3=1,O77+L77+I77,L77+I77)</f>
        <v>6.85</v>
      </c>
      <c r="T77" s="121"/>
      <c r="U77" s="67" t="n">
        <f aca="false">A78-A77</f>
        <v>31</v>
      </c>
      <c r="V77" s="122" t="n">
        <f aca="false">CHOOSE(F$3,A78+24,A77)</f>
        <v>39295</v>
      </c>
      <c r="W77" s="67" t="n">
        <f aca="false">V77-C$3</f>
        <v>-6631</v>
      </c>
      <c r="X77" s="118" t="n">
        <f aca="false">VLOOKUP($A77,Table,MATCH(X$4,Curves,0))</f>
        <v>2</v>
      </c>
      <c r="Y77" s="123" t="n">
        <f aca="false">1/(1+CHOOSE(F$3,(X78+($K$3/10000))/2,(X77+($K$3/10000))/2))^(2*W77/365.25)</f>
        <v>85155292040.5008</v>
      </c>
      <c r="Z77" s="67" t="n">
        <f aca="false">IF(AND(mthbeg&lt;=A77,mthend&gt;=A77),1,0)</f>
        <v>0</v>
      </c>
      <c r="AA77" s="67" t="n">
        <f aca="false">U77*Z77</f>
        <v>0</v>
      </c>
      <c r="AC77" s="110" t="n">
        <f aca="false">F77*(H77-I77)</f>
        <v>0</v>
      </c>
      <c r="AD77" s="49"/>
      <c r="AE77" s="124"/>
    </row>
    <row r="78" customFormat="false" ht="12.75" hidden="false" customHeight="false" outlineLevel="0" collapsed="false">
      <c r="A78" s="115" t="n">
        <f aca="false">EDATE(A77,1)</f>
        <v>39326</v>
      </c>
      <c r="B78" s="116" t="n">
        <f aca="false">'Inputs-Summary'!$B$7</f>
        <v>3017157.21662952</v>
      </c>
      <c r="C78" s="57"/>
      <c r="D78" s="117" t="n">
        <f aca="false">B78+C78</f>
        <v>3017157.21662952</v>
      </c>
      <c r="E78" s="106" t="n">
        <f aca="false">IF(Z78=0,0,IF(AND(Z78=1,$H$3=1),D78*U78,IF($H$3=2,D78,"N/A")))</f>
        <v>0</v>
      </c>
      <c r="F78" s="106" t="n">
        <f aca="false">E78*Y78</f>
        <v>0</v>
      </c>
      <c r="G78" s="118" t="n">
        <f aca="false">VLOOKUP($A78,Table,MATCH(G$4,Curves,0))</f>
        <v>3</v>
      </c>
      <c r="H78" s="119" t="n">
        <f aca="false">G78+$H$7</f>
        <v>3</v>
      </c>
      <c r="I78" s="118" t="n">
        <f aca="false">'Inputs-Summary'!$B$16</f>
        <v>1.85</v>
      </c>
      <c r="J78" s="118" t="n">
        <f aca="false">VLOOKUP($A78,Table,MATCH(J$4,Curves,0))</f>
        <v>5</v>
      </c>
      <c r="K78" s="119" t="n">
        <f aca="false">J78+$K$7</f>
        <v>5</v>
      </c>
      <c r="L78" s="120" t="n">
        <f aca="false">K78</f>
        <v>5</v>
      </c>
      <c r="M78" s="118" t="n">
        <f aca="false">VLOOKUP($A78,Table,MATCH(M$4,Curves,0))</f>
        <v>5</v>
      </c>
      <c r="N78" s="119" t="n">
        <f aca="false">M78+$N$7</f>
        <v>5</v>
      </c>
      <c r="O78" s="120" t="n">
        <f aca="false">N78</f>
        <v>5</v>
      </c>
      <c r="P78" s="109"/>
      <c r="Q78" s="120" t="n">
        <f aca="false">IF($F$3=1,M78+J78+G78,J78+G78)</f>
        <v>8</v>
      </c>
      <c r="R78" s="120" t="n">
        <f aca="false">IF($F$3=1,N78+K78+H78,K78+H78)</f>
        <v>8</v>
      </c>
      <c r="S78" s="120" t="n">
        <f aca="false">IF($F$3=1,O78+L78+I78,L78+I78)</f>
        <v>6.85</v>
      </c>
      <c r="T78" s="121"/>
      <c r="U78" s="67" t="n">
        <f aca="false">A79-A78</f>
        <v>30</v>
      </c>
      <c r="V78" s="122" t="n">
        <f aca="false">CHOOSE(F$3,A79+24,A78)</f>
        <v>39326</v>
      </c>
      <c r="W78" s="67" t="n">
        <f aca="false">V78-C$3</f>
        <v>-6600</v>
      </c>
      <c r="X78" s="118" t="n">
        <f aca="false">VLOOKUP($A78,Table,MATCH(X$4,Curves,0))</f>
        <v>2</v>
      </c>
      <c r="Y78" s="123" t="n">
        <f aca="false">1/(1+CHOOSE(F$3,(X79+($K$3/10000))/2,(X78+($K$3/10000))/2))^(2*W78/365.25)</f>
        <v>75702945848.3913</v>
      </c>
      <c r="Z78" s="67" t="n">
        <f aca="false">IF(AND(mthbeg&lt;=A78,mthend&gt;=A78),1,0)</f>
        <v>0</v>
      </c>
      <c r="AA78" s="67" t="n">
        <f aca="false">U78*Z78</f>
        <v>0</v>
      </c>
      <c r="AC78" s="110" t="n">
        <f aca="false">F78*(H78-I78)</f>
        <v>0</v>
      </c>
      <c r="AD78" s="49"/>
      <c r="AE78" s="124"/>
    </row>
    <row r="79" customFormat="false" ht="12.75" hidden="false" customHeight="false" outlineLevel="0" collapsed="false">
      <c r="A79" s="115" t="n">
        <f aca="false">EDATE(A78,1)</f>
        <v>39356</v>
      </c>
      <c r="B79" s="116" t="n">
        <f aca="false">'Inputs-Summary'!$B$7</f>
        <v>3017157.21662952</v>
      </c>
      <c r="C79" s="57"/>
      <c r="D79" s="117" t="n">
        <f aca="false">B79+C79</f>
        <v>3017157.21662952</v>
      </c>
      <c r="E79" s="106" t="n">
        <f aca="false">IF(Z79=0,0,IF(AND(Z79=1,$H$3=1),D79*U79,IF($H$3=2,D79,"N/A")))</f>
        <v>0</v>
      </c>
      <c r="F79" s="106" t="n">
        <f aca="false">E79*Y79</f>
        <v>0</v>
      </c>
      <c r="G79" s="118" t="n">
        <f aca="false">VLOOKUP($A79,Table,MATCH(G$4,Curves,0))</f>
        <v>3</v>
      </c>
      <c r="H79" s="119" t="n">
        <f aca="false">G79+$H$7</f>
        <v>3</v>
      </c>
      <c r="I79" s="118" t="n">
        <f aca="false">'Inputs-Summary'!$B$16</f>
        <v>1.85</v>
      </c>
      <c r="J79" s="118" t="n">
        <f aca="false">VLOOKUP($A79,Table,MATCH(J$4,Curves,0))</f>
        <v>5</v>
      </c>
      <c r="K79" s="119" t="n">
        <f aca="false">J79+$K$7</f>
        <v>5</v>
      </c>
      <c r="L79" s="120" t="n">
        <f aca="false">K79</f>
        <v>5</v>
      </c>
      <c r="M79" s="118" t="n">
        <f aca="false">VLOOKUP($A79,Table,MATCH(M$4,Curves,0))</f>
        <v>5</v>
      </c>
      <c r="N79" s="119" t="n">
        <f aca="false">M79+$N$7</f>
        <v>5</v>
      </c>
      <c r="O79" s="120" t="n">
        <f aca="false">N79</f>
        <v>5</v>
      </c>
      <c r="P79" s="109"/>
      <c r="Q79" s="120" t="n">
        <f aca="false">IF($F$3=1,M79+J79+G79,J79+G79)</f>
        <v>8</v>
      </c>
      <c r="R79" s="120" t="n">
        <f aca="false">IF($F$3=1,N79+K79+H79,K79+H79)</f>
        <v>8</v>
      </c>
      <c r="S79" s="120" t="n">
        <f aca="false">IF($F$3=1,O79+L79+I79,L79+I79)</f>
        <v>6.85</v>
      </c>
      <c r="T79" s="121"/>
      <c r="U79" s="67" t="n">
        <f aca="false">A80-A79</f>
        <v>31</v>
      </c>
      <c r="V79" s="122" t="n">
        <f aca="false">CHOOSE(F$3,A80+24,A79)</f>
        <v>39356</v>
      </c>
      <c r="W79" s="67" t="n">
        <f aca="false">V79-C$3</f>
        <v>-6570</v>
      </c>
      <c r="X79" s="118" t="n">
        <f aca="false">VLOOKUP($A79,Table,MATCH(X$4,Curves,0))</f>
        <v>2</v>
      </c>
      <c r="Y79" s="123" t="n">
        <f aca="false">1/(1+CHOOSE(F$3,(X80+($K$3/10000))/2,(X79+($K$3/10000))/2))^(2*W79/365.25)</f>
        <v>67555741779.2284</v>
      </c>
      <c r="Z79" s="67" t="n">
        <f aca="false">IF(AND(mthbeg&lt;=A79,mthend&gt;=A79),1,0)</f>
        <v>0</v>
      </c>
      <c r="AA79" s="67" t="n">
        <f aca="false">U79*Z79</f>
        <v>0</v>
      </c>
      <c r="AC79" s="110" t="n">
        <f aca="false">F79*(H79-I79)</f>
        <v>0</v>
      </c>
      <c r="AD79" s="49"/>
      <c r="AE79" s="124"/>
    </row>
    <row r="80" customFormat="false" ht="12.75" hidden="false" customHeight="false" outlineLevel="0" collapsed="false">
      <c r="A80" s="115" t="n">
        <f aca="false">EDATE(A79,1)</f>
        <v>39387</v>
      </c>
      <c r="B80" s="116" t="n">
        <f aca="false">'Inputs-Summary'!$B$7</f>
        <v>3017157.21662952</v>
      </c>
      <c r="C80" s="57"/>
      <c r="D80" s="117" t="n">
        <f aca="false">B80+C80</f>
        <v>3017157.21662952</v>
      </c>
      <c r="E80" s="106" t="n">
        <f aca="false">IF(Z80=0,0,IF(AND(Z80=1,$H$3=1),D80*U80,IF($H$3=2,D80,"N/A")))</f>
        <v>0</v>
      </c>
      <c r="F80" s="106" t="n">
        <f aca="false">E80*Y80</f>
        <v>0</v>
      </c>
      <c r="G80" s="118" t="n">
        <f aca="false">VLOOKUP($A80,Table,MATCH(G$4,Curves,0))</f>
        <v>3</v>
      </c>
      <c r="H80" s="119" t="n">
        <f aca="false">G80+$H$7</f>
        <v>3</v>
      </c>
      <c r="I80" s="118" t="n">
        <f aca="false">'Inputs-Summary'!$B$16</f>
        <v>1.85</v>
      </c>
      <c r="J80" s="118" t="n">
        <f aca="false">VLOOKUP($A80,Table,MATCH(J$4,Curves,0))</f>
        <v>5</v>
      </c>
      <c r="K80" s="119" t="n">
        <f aca="false">J80+$K$7</f>
        <v>5</v>
      </c>
      <c r="L80" s="120" t="n">
        <f aca="false">K80</f>
        <v>5</v>
      </c>
      <c r="M80" s="118" t="n">
        <f aca="false">VLOOKUP($A80,Table,MATCH(M$4,Curves,0))</f>
        <v>5</v>
      </c>
      <c r="N80" s="119" t="n">
        <f aca="false">M80+$N$7</f>
        <v>5</v>
      </c>
      <c r="O80" s="120" t="n">
        <f aca="false">N80</f>
        <v>5</v>
      </c>
      <c r="P80" s="109"/>
      <c r="Q80" s="120" t="n">
        <f aca="false">IF($F$3=1,M80+J80+G80,J80+G80)</f>
        <v>8</v>
      </c>
      <c r="R80" s="120" t="n">
        <f aca="false">IF($F$3=1,N80+K80+H80,K80+H80)</f>
        <v>8</v>
      </c>
      <c r="S80" s="120" t="n">
        <f aca="false">IF($F$3=1,O80+L80+I80,L80+I80)</f>
        <v>6.85</v>
      </c>
      <c r="T80" s="121"/>
      <c r="U80" s="67" t="n">
        <f aca="false">A81-A80</f>
        <v>30</v>
      </c>
      <c r="V80" s="122" t="n">
        <f aca="false">CHOOSE(F$3,A81+24,A80)</f>
        <v>39387</v>
      </c>
      <c r="W80" s="67" t="n">
        <f aca="false">V80-C$3</f>
        <v>-6539</v>
      </c>
      <c r="X80" s="118" t="n">
        <f aca="false">VLOOKUP($A80,Table,MATCH(X$4,Curves,0))</f>
        <v>2</v>
      </c>
      <c r="Y80" s="123" t="n">
        <f aca="false">1/(1+CHOOSE(F$3,(X81+($K$3/10000))/2,(X80+($K$3/10000))/2))^(2*W80/365.25)</f>
        <v>60056968147.4227</v>
      </c>
      <c r="Z80" s="67" t="n">
        <f aca="false">IF(AND(mthbeg&lt;=A80,mthend&gt;=A80),1,0)</f>
        <v>0</v>
      </c>
      <c r="AA80" s="67" t="n">
        <f aca="false">U80*Z80</f>
        <v>0</v>
      </c>
      <c r="AC80" s="110" t="n">
        <f aca="false">F80*(H80-I80)</f>
        <v>0</v>
      </c>
      <c r="AD80" s="49"/>
      <c r="AE80" s="124"/>
    </row>
    <row r="81" customFormat="false" ht="12.75" hidden="false" customHeight="false" outlineLevel="0" collapsed="false">
      <c r="A81" s="115" t="n">
        <f aca="false">EDATE(A80,1)</f>
        <v>39417</v>
      </c>
      <c r="B81" s="116" t="n">
        <f aca="false">'Inputs-Summary'!$B$7</f>
        <v>3017157.21662952</v>
      </c>
      <c r="C81" s="57"/>
      <c r="D81" s="117" t="n">
        <f aca="false">B81+C81</f>
        <v>3017157.21662952</v>
      </c>
      <c r="E81" s="106" t="n">
        <f aca="false">IF(Z81=0,0,IF(AND(Z81=1,$H$3=1),D81*U81,IF($H$3=2,D81,"N/A")))</f>
        <v>0</v>
      </c>
      <c r="F81" s="106" t="n">
        <f aca="false">E81*Y81</f>
        <v>0</v>
      </c>
      <c r="G81" s="118" t="n">
        <f aca="false">VLOOKUP($A81,Table,MATCH(G$4,Curves,0))</f>
        <v>3</v>
      </c>
      <c r="H81" s="119" t="n">
        <f aca="false">G81+$H$7</f>
        <v>3</v>
      </c>
      <c r="I81" s="118" t="n">
        <f aca="false">'Inputs-Summary'!$B$16</f>
        <v>1.85</v>
      </c>
      <c r="J81" s="118" t="n">
        <f aca="false">VLOOKUP($A81,Table,MATCH(J$4,Curves,0))</f>
        <v>5</v>
      </c>
      <c r="K81" s="119" t="n">
        <f aca="false">J81+$K$7</f>
        <v>5</v>
      </c>
      <c r="L81" s="120" t="n">
        <f aca="false">K81</f>
        <v>5</v>
      </c>
      <c r="M81" s="118" t="n">
        <f aca="false">VLOOKUP($A81,Table,MATCH(M$4,Curves,0))</f>
        <v>5</v>
      </c>
      <c r="N81" s="119" t="n">
        <f aca="false">M81+$N$7</f>
        <v>5</v>
      </c>
      <c r="O81" s="120" t="n">
        <f aca="false">N81</f>
        <v>5</v>
      </c>
      <c r="P81" s="109"/>
      <c r="Q81" s="120" t="n">
        <f aca="false">IF($F$3=1,M81+J81+G81,J81+G81)</f>
        <v>8</v>
      </c>
      <c r="R81" s="120" t="n">
        <f aca="false">IF($F$3=1,N81+K81+H81,K81+H81)</f>
        <v>8</v>
      </c>
      <c r="S81" s="120" t="n">
        <f aca="false">IF($F$3=1,O81+L81+I81,L81+I81)</f>
        <v>6.85</v>
      </c>
      <c r="T81" s="121"/>
      <c r="U81" s="67" t="n">
        <f aca="false">A82-A81</f>
        <v>31</v>
      </c>
      <c r="V81" s="122" t="n">
        <f aca="false">CHOOSE(F$3,A82+24,A81)</f>
        <v>39417</v>
      </c>
      <c r="W81" s="67" t="n">
        <f aca="false">V81-C$3</f>
        <v>-6509</v>
      </c>
      <c r="X81" s="118" t="n">
        <f aca="false">VLOOKUP($A81,Table,MATCH(X$4,Curves,0))</f>
        <v>2</v>
      </c>
      <c r="Y81" s="123" t="n">
        <f aca="false">1/(1+CHOOSE(F$3,(X82+($K$3/10000))/2,(X81+($K$3/10000))/2))^(2*W81/365.25)</f>
        <v>53593595159.9018</v>
      </c>
      <c r="Z81" s="67" t="n">
        <f aca="false">IF(AND(mthbeg&lt;=A81,mthend&gt;=A81),1,0)</f>
        <v>0</v>
      </c>
      <c r="AA81" s="67" t="n">
        <f aca="false">U81*Z81</f>
        <v>0</v>
      </c>
      <c r="AC81" s="110" t="n">
        <f aca="false">F81*(H81-I81)</f>
        <v>0</v>
      </c>
      <c r="AD81" s="49"/>
      <c r="AE81" s="124"/>
    </row>
    <row r="82" customFormat="false" ht="12.75" hidden="false" customHeight="false" outlineLevel="0" collapsed="false">
      <c r="A82" s="115" t="n">
        <f aca="false">EDATE(A81,1)</f>
        <v>39448</v>
      </c>
      <c r="B82" s="116" t="n">
        <f aca="false">'Inputs-Summary'!$B$7</f>
        <v>3017157.21662952</v>
      </c>
      <c r="C82" s="57"/>
      <c r="D82" s="117" t="n">
        <f aca="false">B82+C82</f>
        <v>3017157.21662952</v>
      </c>
      <c r="E82" s="106" t="n">
        <f aca="false">IF(Z82=0,0,IF(AND(Z82=1,$H$3=1),D82*U82,IF($H$3=2,D82,"N/A")))</f>
        <v>0</v>
      </c>
      <c r="F82" s="106" t="n">
        <f aca="false">E82*Y82</f>
        <v>0</v>
      </c>
      <c r="G82" s="118" t="n">
        <f aca="false">VLOOKUP($A82,Table,MATCH(G$4,Curves,0))</f>
        <v>3</v>
      </c>
      <c r="H82" s="119" t="n">
        <f aca="false">G82+$H$7</f>
        <v>3</v>
      </c>
      <c r="I82" s="118" t="n">
        <f aca="false">'Inputs-Summary'!$B$16</f>
        <v>1.85</v>
      </c>
      <c r="J82" s="118" t="n">
        <f aca="false">VLOOKUP($A82,Table,MATCH(J$4,Curves,0))</f>
        <v>5</v>
      </c>
      <c r="K82" s="119" t="n">
        <f aca="false">J82+$K$7</f>
        <v>5</v>
      </c>
      <c r="L82" s="120" t="n">
        <f aca="false">K82</f>
        <v>5</v>
      </c>
      <c r="M82" s="118" t="n">
        <f aca="false">VLOOKUP($A82,Table,MATCH(M$4,Curves,0))</f>
        <v>5</v>
      </c>
      <c r="N82" s="119" t="n">
        <f aca="false">M82+$N$7</f>
        <v>5</v>
      </c>
      <c r="O82" s="120" t="n">
        <f aca="false">N82</f>
        <v>5</v>
      </c>
      <c r="P82" s="109"/>
      <c r="Q82" s="120" t="n">
        <f aca="false">IF($F$3=1,M82+J82+G82,J82+G82)</f>
        <v>8</v>
      </c>
      <c r="R82" s="120" t="n">
        <f aca="false">IF($F$3=1,N82+K82+H82,K82+H82)</f>
        <v>8</v>
      </c>
      <c r="S82" s="120" t="n">
        <f aca="false">IF($F$3=1,O82+L82+I82,L82+I82)</f>
        <v>6.85</v>
      </c>
      <c r="T82" s="121"/>
      <c r="U82" s="67" t="n">
        <f aca="false">A83-A82</f>
        <v>31</v>
      </c>
      <c r="V82" s="122" t="n">
        <f aca="false">CHOOSE(F$3,A83+24,A82)</f>
        <v>39448</v>
      </c>
      <c r="W82" s="67" t="n">
        <f aca="false">V82-C$3</f>
        <v>-6478</v>
      </c>
      <c r="X82" s="118" t="n">
        <f aca="false">VLOOKUP($A82,Table,MATCH(X$4,Curves,0))</f>
        <v>2</v>
      </c>
      <c r="Y82" s="123" t="n">
        <f aca="false">1/(1+CHOOSE(F$3,(X83+($K$3/10000))/2,(X82+($K$3/10000))/2))^(2*W82/365.25)</f>
        <v>47644637637.7992</v>
      </c>
      <c r="Z82" s="67" t="n">
        <f aca="false">IF(AND(mthbeg&lt;=A82,mthend&gt;=A82),1,0)</f>
        <v>0</v>
      </c>
      <c r="AA82" s="67" t="n">
        <f aca="false">U82*Z82</f>
        <v>0</v>
      </c>
      <c r="AC82" s="110" t="n">
        <f aca="false">F82*(H82-I82)</f>
        <v>0</v>
      </c>
      <c r="AD82" s="49"/>
      <c r="AE82" s="124"/>
    </row>
    <row r="83" customFormat="false" ht="12.75" hidden="false" customHeight="false" outlineLevel="0" collapsed="false">
      <c r="A83" s="115" t="n">
        <f aca="false">EDATE(A82,1)</f>
        <v>39479</v>
      </c>
      <c r="B83" s="116" t="n">
        <f aca="false">'Inputs-Summary'!$B$7</f>
        <v>3017157.21662952</v>
      </c>
      <c r="C83" s="57"/>
      <c r="D83" s="117" t="n">
        <f aca="false">B83+C83</f>
        <v>3017157.21662952</v>
      </c>
      <c r="E83" s="106" t="n">
        <f aca="false">IF(Z83=0,0,IF(AND(Z83=1,$H$3=1),D83*U83,IF($H$3=2,D83,"N/A")))</f>
        <v>0</v>
      </c>
      <c r="F83" s="106" t="n">
        <f aca="false">E83*Y83</f>
        <v>0</v>
      </c>
      <c r="G83" s="118" t="n">
        <f aca="false">VLOOKUP($A83,Table,MATCH(G$4,Curves,0))</f>
        <v>3</v>
      </c>
      <c r="H83" s="119" t="n">
        <f aca="false">G83+$H$7</f>
        <v>3</v>
      </c>
      <c r="I83" s="118" t="n">
        <f aca="false">'Inputs-Summary'!$B$16</f>
        <v>1.85</v>
      </c>
      <c r="J83" s="118" t="n">
        <f aca="false">VLOOKUP($A83,Table,MATCH(J$4,Curves,0))</f>
        <v>5</v>
      </c>
      <c r="K83" s="119" t="n">
        <f aca="false">J83+$K$7</f>
        <v>5</v>
      </c>
      <c r="L83" s="120" t="n">
        <f aca="false">K83</f>
        <v>5</v>
      </c>
      <c r="M83" s="118" t="n">
        <f aca="false">VLOOKUP($A83,Table,MATCH(M$4,Curves,0))</f>
        <v>5</v>
      </c>
      <c r="N83" s="119" t="n">
        <f aca="false">M83+$N$7</f>
        <v>5</v>
      </c>
      <c r="O83" s="120" t="n">
        <f aca="false">N83</f>
        <v>5</v>
      </c>
      <c r="P83" s="109"/>
      <c r="Q83" s="120" t="n">
        <f aca="false">IF($F$3=1,M83+J83+G83,J83+G83)</f>
        <v>8</v>
      </c>
      <c r="R83" s="120" t="n">
        <f aca="false">IF($F$3=1,N83+K83+H83,K83+H83)</f>
        <v>8</v>
      </c>
      <c r="S83" s="120" t="n">
        <f aca="false">IF($F$3=1,O83+L83+I83,L83+I83)</f>
        <v>6.85</v>
      </c>
      <c r="T83" s="121"/>
      <c r="U83" s="67" t="n">
        <f aca="false">A84-A83</f>
        <v>29</v>
      </c>
      <c r="V83" s="122" t="n">
        <f aca="false">CHOOSE(F$3,A84+24,A83)</f>
        <v>39479</v>
      </c>
      <c r="W83" s="67" t="n">
        <f aca="false">V83-C$3</f>
        <v>-6447</v>
      </c>
      <c r="X83" s="118" t="n">
        <f aca="false">VLOOKUP($A83,Table,MATCH(X$4,Curves,0))</f>
        <v>2</v>
      </c>
      <c r="Y83" s="123" t="n">
        <f aca="false">1/(1+CHOOSE(F$3,(X84+($K$3/10000))/2,(X83+($K$3/10000))/2))^(2*W83/365.25)</f>
        <v>42356021999.726</v>
      </c>
      <c r="Z83" s="67" t="n">
        <f aca="false">IF(AND(mthbeg&lt;=A83,mthend&gt;=A83),1,0)</f>
        <v>0</v>
      </c>
      <c r="AA83" s="67" t="n">
        <f aca="false">U83*Z83</f>
        <v>0</v>
      </c>
      <c r="AC83" s="110" t="n">
        <f aca="false">F83*(H83-I83)</f>
        <v>0</v>
      </c>
      <c r="AD83" s="49"/>
      <c r="AE83" s="124"/>
    </row>
    <row r="84" customFormat="false" ht="12.75" hidden="false" customHeight="false" outlineLevel="0" collapsed="false">
      <c r="A84" s="115" t="n">
        <f aca="false">EDATE(A83,1)</f>
        <v>39508</v>
      </c>
      <c r="B84" s="116" t="n">
        <f aca="false">'Inputs-Summary'!$B$7</f>
        <v>3017157.21662952</v>
      </c>
      <c r="C84" s="57"/>
      <c r="D84" s="117" t="n">
        <f aca="false">B84+C84</f>
        <v>3017157.21662952</v>
      </c>
      <c r="E84" s="106" t="n">
        <f aca="false">IF(Z84=0,0,IF(AND(Z84=1,$H$3=1),D84*U84,IF($H$3=2,D84,"N/A")))</f>
        <v>0</v>
      </c>
      <c r="F84" s="106" t="n">
        <f aca="false">E84*Y84</f>
        <v>0</v>
      </c>
      <c r="G84" s="118" t="n">
        <f aca="false">VLOOKUP($A84,Table,MATCH(G$4,Curves,0))</f>
        <v>3</v>
      </c>
      <c r="H84" s="119" t="n">
        <f aca="false">G84+$H$7</f>
        <v>3</v>
      </c>
      <c r="I84" s="118" t="n">
        <f aca="false">'Inputs-Summary'!$B$16</f>
        <v>1.85</v>
      </c>
      <c r="J84" s="118" t="n">
        <f aca="false">VLOOKUP($A84,Table,MATCH(J$4,Curves,0))</f>
        <v>5</v>
      </c>
      <c r="K84" s="119" t="n">
        <f aca="false">J84+$K$7</f>
        <v>5</v>
      </c>
      <c r="L84" s="120" t="n">
        <f aca="false">K84</f>
        <v>5</v>
      </c>
      <c r="M84" s="118" t="n">
        <f aca="false">VLOOKUP($A84,Table,MATCH(M$4,Curves,0))</f>
        <v>5</v>
      </c>
      <c r="N84" s="119" t="n">
        <f aca="false">M84+$N$7</f>
        <v>5</v>
      </c>
      <c r="O84" s="120" t="n">
        <f aca="false">N84</f>
        <v>5</v>
      </c>
      <c r="P84" s="109"/>
      <c r="Q84" s="120" t="n">
        <f aca="false">IF($F$3=1,M84+J84+G84,J84+G84)</f>
        <v>8</v>
      </c>
      <c r="R84" s="120" t="n">
        <f aca="false">IF($F$3=1,N84+K84+H84,K84+H84)</f>
        <v>8</v>
      </c>
      <c r="S84" s="120" t="n">
        <f aca="false">IF($F$3=1,O84+L84+I84,L84+I84)</f>
        <v>6.85</v>
      </c>
      <c r="T84" s="121"/>
      <c r="U84" s="67" t="n">
        <f aca="false">A85-A84</f>
        <v>31</v>
      </c>
      <c r="V84" s="122" t="n">
        <f aca="false">CHOOSE(F$3,A85+24,A84)</f>
        <v>39508</v>
      </c>
      <c r="W84" s="67" t="n">
        <f aca="false">V84-C$3</f>
        <v>-6418</v>
      </c>
      <c r="X84" s="118" t="n">
        <f aca="false">VLOOKUP($A84,Table,MATCH(X$4,Curves,0))</f>
        <v>2</v>
      </c>
      <c r="Y84" s="123" t="n">
        <f aca="false">1/(1+CHOOSE(F$3,(X85+($K$3/10000))/2,(X84+($K$3/10000))/2))^(2*W84/365.25)</f>
        <v>37941369519.6971</v>
      </c>
      <c r="Z84" s="67" t="n">
        <f aca="false">IF(AND(mthbeg&lt;=A84,mthend&gt;=A84),1,0)</f>
        <v>0</v>
      </c>
      <c r="AA84" s="67" t="n">
        <f aca="false">U84*Z84</f>
        <v>0</v>
      </c>
      <c r="AC84" s="110" t="n">
        <f aca="false">F84*(H84-I84)</f>
        <v>0</v>
      </c>
      <c r="AD84" s="49"/>
      <c r="AE84" s="124"/>
    </row>
    <row r="85" customFormat="false" ht="12.75" hidden="false" customHeight="false" outlineLevel="0" collapsed="false">
      <c r="A85" s="115" t="n">
        <f aca="false">EDATE(A84,1)</f>
        <v>39539</v>
      </c>
      <c r="B85" s="116" t="n">
        <f aca="false">'Inputs-Summary'!$B$7</f>
        <v>3017157.21662952</v>
      </c>
      <c r="C85" s="57"/>
      <c r="D85" s="117" t="n">
        <f aca="false">B85+C85</f>
        <v>3017157.21662952</v>
      </c>
      <c r="E85" s="106" t="n">
        <f aca="false">IF(Z85=0,0,IF(AND(Z85=1,$H$3=1),D85*U85,IF($H$3=2,D85,"N/A")))</f>
        <v>0</v>
      </c>
      <c r="F85" s="106" t="n">
        <f aca="false">E85*Y85</f>
        <v>0</v>
      </c>
      <c r="G85" s="118" t="n">
        <f aca="false">VLOOKUP($A85,Table,MATCH(G$4,Curves,0))</f>
        <v>3</v>
      </c>
      <c r="H85" s="119" t="n">
        <f aca="false">G85+$H$7</f>
        <v>3</v>
      </c>
      <c r="I85" s="118" t="n">
        <f aca="false">'Inputs-Summary'!$B$16</f>
        <v>1.85</v>
      </c>
      <c r="J85" s="118" t="n">
        <f aca="false">VLOOKUP($A85,Table,MATCH(J$4,Curves,0))</f>
        <v>5</v>
      </c>
      <c r="K85" s="119" t="n">
        <f aca="false">J85+$K$7</f>
        <v>5</v>
      </c>
      <c r="L85" s="120" t="n">
        <f aca="false">K85</f>
        <v>5</v>
      </c>
      <c r="M85" s="118" t="n">
        <f aca="false">VLOOKUP($A85,Table,MATCH(M$4,Curves,0))</f>
        <v>5</v>
      </c>
      <c r="N85" s="119" t="n">
        <f aca="false">M85+$N$7</f>
        <v>5</v>
      </c>
      <c r="O85" s="120" t="n">
        <f aca="false">N85</f>
        <v>5</v>
      </c>
      <c r="P85" s="109"/>
      <c r="Q85" s="120" t="n">
        <f aca="false">IF($F$3=1,M85+J85+G85,J85+G85)</f>
        <v>8</v>
      </c>
      <c r="R85" s="120" t="n">
        <f aca="false">IF($F$3=1,N85+K85+H85,K85+H85)</f>
        <v>8</v>
      </c>
      <c r="S85" s="120" t="n">
        <f aca="false">IF($F$3=1,O85+L85+I85,L85+I85)</f>
        <v>6.85</v>
      </c>
      <c r="T85" s="121"/>
      <c r="U85" s="67" t="n">
        <f aca="false">A86-A85</f>
        <v>30</v>
      </c>
      <c r="V85" s="122" t="n">
        <f aca="false">CHOOSE(F$3,A86+24,A85)</f>
        <v>39539</v>
      </c>
      <c r="W85" s="67" t="n">
        <f aca="false">V85-C$3</f>
        <v>-6387</v>
      </c>
      <c r="X85" s="118" t="n">
        <f aca="false">VLOOKUP($A85,Table,MATCH(X$4,Curves,0))</f>
        <v>2</v>
      </c>
      <c r="Y85" s="123" t="n">
        <f aca="false">1/(1+CHOOSE(F$3,(X86+($K$3/10000))/2,(X85+($K$3/10000))/2))^(2*W85/365.25)</f>
        <v>33729829037.4878</v>
      </c>
      <c r="Z85" s="67" t="n">
        <f aca="false">IF(AND(mthbeg&lt;=A85,mthend&gt;=A85),1,0)</f>
        <v>0</v>
      </c>
      <c r="AA85" s="67" t="n">
        <f aca="false">U85*Z85</f>
        <v>0</v>
      </c>
      <c r="AC85" s="110" t="n">
        <f aca="false">F85*(H85-I85)</f>
        <v>0</v>
      </c>
      <c r="AD85" s="49"/>
      <c r="AE85" s="124"/>
    </row>
    <row r="86" customFormat="false" ht="12.75" hidden="false" customHeight="false" outlineLevel="0" collapsed="false">
      <c r="A86" s="115" t="n">
        <f aca="false">EDATE(A85,1)</f>
        <v>39569</v>
      </c>
      <c r="B86" s="116" t="n">
        <f aca="false">'Inputs-Summary'!$B$7</f>
        <v>3017157.21662952</v>
      </c>
      <c r="C86" s="57"/>
      <c r="D86" s="117" t="n">
        <f aca="false">B86+C86</f>
        <v>3017157.21662952</v>
      </c>
      <c r="E86" s="106" t="n">
        <f aca="false">IF(Z86=0,0,IF(AND(Z86=1,$H$3=1),D86*U86,IF($H$3=2,D86,"N/A")))</f>
        <v>0</v>
      </c>
      <c r="F86" s="106" t="n">
        <f aca="false">E86*Y86</f>
        <v>0</v>
      </c>
      <c r="G86" s="118" t="n">
        <f aca="false">VLOOKUP($A86,Table,MATCH(G$4,Curves,0))</f>
        <v>3</v>
      </c>
      <c r="H86" s="119" t="n">
        <f aca="false">G86+$H$7</f>
        <v>3</v>
      </c>
      <c r="I86" s="118" t="n">
        <f aca="false">'Inputs-Summary'!$B$16</f>
        <v>1.85</v>
      </c>
      <c r="J86" s="118" t="n">
        <f aca="false">VLOOKUP($A86,Table,MATCH(J$4,Curves,0))</f>
        <v>5</v>
      </c>
      <c r="K86" s="119" t="n">
        <f aca="false">J86+$K$7</f>
        <v>5</v>
      </c>
      <c r="L86" s="120" t="n">
        <f aca="false">K86</f>
        <v>5</v>
      </c>
      <c r="M86" s="118" t="n">
        <f aca="false">VLOOKUP($A86,Table,MATCH(M$4,Curves,0))</f>
        <v>5</v>
      </c>
      <c r="N86" s="119" t="n">
        <f aca="false">M86+$N$7</f>
        <v>5</v>
      </c>
      <c r="O86" s="120" t="n">
        <f aca="false">N86</f>
        <v>5</v>
      </c>
      <c r="P86" s="109"/>
      <c r="Q86" s="120" t="n">
        <f aca="false">IF($F$3=1,M86+J86+G86,J86+G86)</f>
        <v>8</v>
      </c>
      <c r="R86" s="120" t="n">
        <f aca="false">IF($F$3=1,N86+K86+H86,K86+H86)</f>
        <v>8</v>
      </c>
      <c r="S86" s="120" t="n">
        <f aca="false">IF($F$3=1,O86+L86+I86,L86+I86)</f>
        <v>6.85</v>
      </c>
      <c r="T86" s="121"/>
      <c r="U86" s="67" t="n">
        <f aca="false">A87-A86</f>
        <v>31</v>
      </c>
      <c r="V86" s="122" t="n">
        <f aca="false">CHOOSE(F$3,A87+24,A86)</f>
        <v>39569</v>
      </c>
      <c r="W86" s="67" t="n">
        <f aca="false">V86-C$3</f>
        <v>-6357</v>
      </c>
      <c r="X86" s="118" t="n">
        <f aca="false">VLOOKUP($A86,Table,MATCH(X$4,Curves,0))</f>
        <v>2</v>
      </c>
      <c r="Y86" s="123" t="n">
        <f aca="false">1/(1+CHOOSE(F$3,(X87+($K$3/10000))/2,(X86+($K$3/10000))/2))^(2*W86/365.25)</f>
        <v>30099801205.5889</v>
      </c>
      <c r="Z86" s="67" t="n">
        <f aca="false">IF(AND(mthbeg&lt;=A86,mthend&gt;=A86),1,0)</f>
        <v>0</v>
      </c>
      <c r="AA86" s="67" t="n">
        <f aca="false">U86*Z86</f>
        <v>0</v>
      </c>
      <c r="AC86" s="110" t="n">
        <f aca="false">F86*(H86-I86)</f>
        <v>0</v>
      </c>
      <c r="AD86" s="49"/>
      <c r="AE86" s="124"/>
    </row>
    <row r="87" customFormat="false" ht="12.75" hidden="false" customHeight="false" outlineLevel="0" collapsed="false">
      <c r="A87" s="115" t="n">
        <f aca="false">EDATE(A86,1)</f>
        <v>39600</v>
      </c>
      <c r="B87" s="116" t="n">
        <f aca="false">'Inputs-Summary'!$B$7</f>
        <v>3017157.21662952</v>
      </c>
      <c r="C87" s="57"/>
      <c r="D87" s="117" t="n">
        <f aca="false">B87+C87</f>
        <v>3017157.21662952</v>
      </c>
      <c r="E87" s="106" t="n">
        <f aca="false">IF(Z87=0,0,IF(AND(Z87=1,$H$3=1),D87*U87,IF($H$3=2,D87,"N/A")))</f>
        <v>0</v>
      </c>
      <c r="F87" s="106" t="n">
        <f aca="false">E87*Y87</f>
        <v>0</v>
      </c>
      <c r="G87" s="118" t="n">
        <f aca="false">VLOOKUP($A87,Table,MATCH(G$4,Curves,0))</f>
        <v>3</v>
      </c>
      <c r="H87" s="119" t="n">
        <f aca="false">G87+$H$7</f>
        <v>3</v>
      </c>
      <c r="I87" s="118" t="n">
        <f aca="false">'Inputs-Summary'!$B$16</f>
        <v>1.85</v>
      </c>
      <c r="J87" s="118" t="n">
        <f aca="false">VLOOKUP($A87,Table,MATCH(J$4,Curves,0))</f>
        <v>5</v>
      </c>
      <c r="K87" s="119" t="n">
        <f aca="false">J87+$K$7</f>
        <v>5</v>
      </c>
      <c r="L87" s="120" t="n">
        <f aca="false">K87</f>
        <v>5</v>
      </c>
      <c r="M87" s="118" t="n">
        <f aca="false">VLOOKUP($A87,Table,MATCH(M$4,Curves,0))</f>
        <v>5</v>
      </c>
      <c r="N87" s="119" t="n">
        <f aca="false">M87+$N$7</f>
        <v>5</v>
      </c>
      <c r="O87" s="120" t="n">
        <f aca="false">N87</f>
        <v>5</v>
      </c>
      <c r="P87" s="109"/>
      <c r="Q87" s="120" t="n">
        <f aca="false">IF($F$3=1,M87+J87+G87,J87+G87)</f>
        <v>8</v>
      </c>
      <c r="R87" s="120" t="n">
        <f aca="false">IF($F$3=1,N87+K87+H87,K87+H87)</f>
        <v>8</v>
      </c>
      <c r="S87" s="120" t="n">
        <f aca="false">IF($F$3=1,O87+L87+I87,L87+I87)</f>
        <v>6.85</v>
      </c>
      <c r="T87" s="121"/>
      <c r="U87" s="67" t="n">
        <f aca="false">A88-A87</f>
        <v>30</v>
      </c>
      <c r="V87" s="122" t="n">
        <f aca="false">CHOOSE(F$3,A88+24,A87)</f>
        <v>39600</v>
      </c>
      <c r="W87" s="67" t="n">
        <f aca="false">V87-C$3</f>
        <v>-6326</v>
      </c>
      <c r="X87" s="118" t="n">
        <f aca="false">VLOOKUP($A87,Table,MATCH(X$4,Curves,0))</f>
        <v>2</v>
      </c>
      <c r="Y87" s="123" t="n">
        <f aca="false">1/(1+CHOOSE(F$3,(X88+($K$3/10000))/2,(X87+($K$3/10000))/2))^(2*W87/365.25)</f>
        <v>26758684822.9032</v>
      </c>
      <c r="Z87" s="67" t="n">
        <f aca="false">IF(AND(mthbeg&lt;=A87,mthend&gt;=A87),1,0)</f>
        <v>0</v>
      </c>
      <c r="AA87" s="67" t="n">
        <f aca="false">U87*Z87</f>
        <v>0</v>
      </c>
      <c r="AC87" s="110" t="n">
        <f aca="false">F87*(H87-I87)</f>
        <v>0</v>
      </c>
      <c r="AD87" s="49"/>
      <c r="AE87" s="124"/>
    </row>
    <row r="88" customFormat="false" ht="12.75" hidden="false" customHeight="false" outlineLevel="0" collapsed="false">
      <c r="A88" s="115" t="n">
        <f aca="false">EDATE(A87,1)</f>
        <v>39630</v>
      </c>
      <c r="B88" s="116" t="n">
        <f aca="false">'Inputs-Summary'!$B$7</f>
        <v>3017157.21662952</v>
      </c>
      <c r="C88" s="57"/>
      <c r="D88" s="117" t="n">
        <f aca="false">B88+C88</f>
        <v>3017157.21662952</v>
      </c>
      <c r="E88" s="106" t="n">
        <f aca="false">IF(Z88=0,0,IF(AND(Z88=1,$H$3=1),D88*U88,IF($H$3=2,D88,"N/A")))</f>
        <v>0</v>
      </c>
      <c r="F88" s="106" t="n">
        <f aca="false">E88*Y88</f>
        <v>0</v>
      </c>
      <c r="G88" s="118" t="n">
        <f aca="false">VLOOKUP($A88,Table,MATCH(G$4,Curves,0))</f>
        <v>3</v>
      </c>
      <c r="H88" s="119" t="n">
        <f aca="false">G88+$H$7</f>
        <v>3</v>
      </c>
      <c r="I88" s="118" t="n">
        <f aca="false">'Inputs-Summary'!$B$16</f>
        <v>1.85</v>
      </c>
      <c r="J88" s="118" t="n">
        <f aca="false">VLOOKUP($A88,Table,MATCH(J$4,Curves,0))</f>
        <v>5</v>
      </c>
      <c r="K88" s="119" t="n">
        <f aca="false">J88+$K$7</f>
        <v>5</v>
      </c>
      <c r="L88" s="120" t="n">
        <f aca="false">K88</f>
        <v>5</v>
      </c>
      <c r="M88" s="118" t="n">
        <f aca="false">VLOOKUP($A88,Table,MATCH(M$4,Curves,0))</f>
        <v>5</v>
      </c>
      <c r="N88" s="119" t="n">
        <f aca="false">M88+$N$7</f>
        <v>5</v>
      </c>
      <c r="O88" s="120" t="n">
        <f aca="false">N88</f>
        <v>5</v>
      </c>
      <c r="P88" s="109"/>
      <c r="Q88" s="120" t="n">
        <f aca="false">IF($F$3=1,M88+J88+G88,J88+G88)</f>
        <v>8</v>
      </c>
      <c r="R88" s="120" t="n">
        <f aca="false">IF($F$3=1,N88+K88+H88,K88+H88)</f>
        <v>8</v>
      </c>
      <c r="S88" s="120" t="n">
        <f aca="false">IF($F$3=1,O88+L88+I88,L88+I88)</f>
        <v>6.85</v>
      </c>
      <c r="T88" s="121"/>
      <c r="U88" s="67" t="n">
        <f aca="false">A89-A88</f>
        <v>31</v>
      </c>
      <c r="V88" s="122" t="n">
        <f aca="false">CHOOSE(F$3,A89+24,A88)</f>
        <v>39630</v>
      </c>
      <c r="W88" s="67" t="n">
        <f aca="false">V88-C$3</f>
        <v>-6296</v>
      </c>
      <c r="X88" s="118" t="n">
        <f aca="false">VLOOKUP($A88,Table,MATCH(X$4,Curves,0))</f>
        <v>2</v>
      </c>
      <c r="Y88" s="123" t="n">
        <f aca="false">1/(1+CHOOSE(F$3,(X89+($K$3/10000))/2,(X88+($K$3/10000))/2))^(2*W88/365.25)</f>
        <v>23878896415.3133</v>
      </c>
      <c r="Z88" s="67" t="n">
        <f aca="false">IF(AND(mthbeg&lt;=A88,mthend&gt;=A88),1,0)</f>
        <v>0</v>
      </c>
      <c r="AA88" s="67" t="n">
        <f aca="false">U88*Z88</f>
        <v>0</v>
      </c>
      <c r="AC88" s="110" t="n">
        <f aca="false">F88*(H88-I88)</f>
        <v>0</v>
      </c>
      <c r="AD88" s="49"/>
      <c r="AE88" s="124"/>
    </row>
    <row r="89" customFormat="false" ht="12.75" hidden="false" customHeight="false" outlineLevel="0" collapsed="false">
      <c r="A89" s="115" t="n">
        <f aca="false">EDATE(A88,1)</f>
        <v>39661</v>
      </c>
      <c r="B89" s="116" t="n">
        <f aca="false">'Inputs-Summary'!$B$7</f>
        <v>3017157.21662952</v>
      </c>
      <c r="C89" s="57"/>
      <c r="D89" s="117" t="n">
        <f aca="false">B89+C89</f>
        <v>3017157.21662952</v>
      </c>
      <c r="E89" s="106" t="n">
        <f aca="false">IF(Z89=0,0,IF(AND(Z89=1,$H$3=1),D89*U89,IF($H$3=2,D89,"N/A")))</f>
        <v>0</v>
      </c>
      <c r="F89" s="106" t="n">
        <f aca="false">E89*Y89</f>
        <v>0</v>
      </c>
      <c r="G89" s="118" t="n">
        <f aca="false">VLOOKUP($A89,Table,MATCH(G$4,Curves,0))</f>
        <v>3</v>
      </c>
      <c r="H89" s="119" t="n">
        <f aca="false">G89+$H$7</f>
        <v>3</v>
      </c>
      <c r="I89" s="118" t="n">
        <f aca="false">'Inputs-Summary'!$B$16</f>
        <v>1.85</v>
      </c>
      <c r="J89" s="118" t="n">
        <f aca="false">VLOOKUP($A89,Table,MATCH(J$4,Curves,0))</f>
        <v>5</v>
      </c>
      <c r="K89" s="119" t="n">
        <f aca="false">J89+$K$7</f>
        <v>5</v>
      </c>
      <c r="L89" s="120" t="n">
        <f aca="false">K89</f>
        <v>5</v>
      </c>
      <c r="M89" s="118" t="n">
        <f aca="false">VLOOKUP($A89,Table,MATCH(M$4,Curves,0))</f>
        <v>5</v>
      </c>
      <c r="N89" s="119" t="n">
        <f aca="false">M89+$N$7</f>
        <v>5</v>
      </c>
      <c r="O89" s="120" t="n">
        <f aca="false">N89</f>
        <v>5</v>
      </c>
      <c r="P89" s="109"/>
      <c r="Q89" s="120" t="n">
        <f aca="false">IF($F$3=1,M89+J89+G89,J89+G89)</f>
        <v>8</v>
      </c>
      <c r="R89" s="120" t="n">
        <f aca="false">IF($F$3=1,N89+K89+H89,K89+H89)</f>
        <v>8</v>
      </c>
      <c r="S89" s="120" t="n">
        <f aca="false">IF($F$3=1,O89+L89+I89,L89+I89)</f>
        <v>6.85</v>
      </c>
      <c r="T89" s="121"/>
      <c r="U89" s="67" t="n">
        <f aca="false">A90-A89</f>
        <v>31</v>
      </c>
      <c r="V89" s="122" t="n">
        <f aca="false">CHOOSE(F$3,A90+24,A89)</f>
        <v>39661</v>
      </c>
      <c r="W89" s="67" t="n">
        <f aca="false">V89-C$3</f>
        <v>-6265</v>
      </c>
      <c r="X89" s="118" t="n">
        <f aca="false">VLOOKUP($A89,Table,MATCH(X$4,Curves,0))</f>
        <v>2</v>
      </c>
      <c r="Y89" s="123" t="n">
        <f aca="false">1/(1+CHOOSE(F$3,(X90+($K$3/10000))/2,(X89+($K$3/10000))/2))^(2*W89/365.25)</f>
        <v>21228308410.8037</v>
      </c>
      <c r="Z89" s="67" t="n">
        <f aca="false">IF(AND(mthbeg&lt;=A89,mthend&gt;=A89),1,0)</f>
        <v>0</v>
      </c>
      <c r="AA89" s="67" t="n">
        <f aca="false">U89*Z89</f>
        <v>0</v>
      </c>
      <c r="AC89" s="110" t="n">
        <f aca="false">F89*(H89-I89)</f>
        <v>0</v>
      </c>
      <c r="AD89" s="49"/>
      <c r="AE89" s="124"/>
    </row>
    <row r="90" customFormat="false" ht="12.75" hidden="false" customHeight="false" outlineLevel="0" collapsed="false">
      <c r="A90" s="115" t="n">
        <f aca="false">EDATE(A89,1)</f>
        <v>39692</v>
      </c>
      <c r="B90" s="116" t="n">
        <f aca="false">'Inputs-Summary'!$B$7</f>
        <v>3017157.21662952</v>
      </c>
      <c r="C90" s="57"/>
      <c r="D90" s="117" t="n">
        <f aca="false">B90+C90</f>
        <v>3017157.21662952</v>
      </c>
      <c r="E90" s="106" t="n">
        <f aca="false">IF(Z90=0,0,IF(AND(Z90=1,$H$3=1),D90*U90,IF($H$3=2,D90,"N/A")))</f>
        <v>0</v>
      </c>
      <c r="F90" s="106" t="n">
        <f aca="false">E90*Y90</f>
        <v>0</v>
      </c>
      <c r="G90" s="118" t="n">
        <f aca="false">VLOOKUP($A90,Table,MATCH(G$4,Curves,0))</f>
        <v>3</v>
      </c>
      <c r="H90" s="119" t="n">
        <f aca="false">G90+$H$7</f>
        <v>3</v>
      </c>
      <c r="I90" s="118" t="n">
        <f aca="false">'Inputs-Summary'!$B$16</f>
        <v>1.85</v>
      </c>
      <c r="J90" s="118" t="n">
        <f aca="false">VLOOKUP($A90,Table,MATCH(J$4,Curves,0))</f>
        <v>5</v>
      </c>
      <c r="K90" s="119" t="n">
        <f aca="false">J90+$K$7</f>
        <v>5</v>
      </c>
      <c r="L90" s="120" t="n">
        <f aca="false">K90</f>
        <v>5</v>
      </c>
      <c r="M90" s="118" t="n">
        <f aca="false">VLOOKUP($A90,Table,MATCH(M$4,Curves,0))</f>
        <v>5</v>
      </c>
      <c r="N90" s="119" t="n">
        <f aca="false">M90+$N$7</f>
        <v>5</v>
      </c>
      <c r="O90" s="120" t="n">
        <f aca="false">N90</f>
        <v>5</v>
      </c>
      <c r="P90" s="109"/>
      <c r="Q90" s="120" t="n">
        <f aca="false">IF($F$3=1,M90+J90+G90,J90+G90)</f>
        <v>8</v>
      </c>
      <c r="R90" s="120" t="n">
        <f aca="false">IF($F$3=1,N90+K90+H90,K90+H90)</f>
        <v>8</v>
      </c>
      <c r="S90" s="120" t="n">
        <f aca="false">IF($F$3=1,O90+L90+I90,L90+I90)</f>
        <v>6.85</v>
      </c>
      <c r="T90" s="121"/>
      <c r="U90" s="67" t="n">
        <f aca="false">A91-A90</f>
        <v>30</v>
      </c>
      <c r="V90" s="122" t="n">
        <f aca="false">CHOOSE(F$3,A91+24,A90)</f>
        <v>39692</v>
      </c>
      <c r="W90" s="67" t="n">
        <f aca="false">V90-C$3</f>
        <v>-6234</v>
      </c>
      <c r="X90" s="118" t="n">
        <f aca="false">VLOOKUP($A90,Table,MATCH(X$4,Curves,0))</f>
        <v>2</v>
      </c>
      <c r="Y90" s="123" t="n">
        <f aca="false">1/(1+CHOOSE(F$3,(X91+($K$3/10000))/2,(X90+($K$3/10000))/2))^(2*W90/365.25)</f>
        <v>18871939060.6011</v>
      </c>
      <c r="Z90" s="67" t="n">
        <f aca="false">IF(AND(mthbeg&lt;=A90,mthend&gt;=A90),1,0)</f>
        <v>0</v>
      </c>
      <c r="AA90" s="67" t="n">
        <f aca="false">U90*Z90</f>
        <v>0</v>
      </c>
      <c r="AC90" s="110" t="n">
        <f aca="false">F90*(H90-I90)</f>
        <v>0</v>
      </c>
      <c r="AD90" s="49"/>
      <c r="AE90" s="124"/>
    </row>
    <row r="91" customFormat="false" ht="12.75" hidden="false" customHeight="false" outlineLevel="0" collapsed="false">
      <c r="A91" s="115" t="n">
        <f aca="false">EDATE(A90,1)</f>
        <v>39722</v>
      </c>
      <c r="B91" s="116" t="n">
        <f aca="false">'Inputs-Summary'!$B$7</f>
        <v>3017157.21662952</v>
      </c>
      <c r="C91" s="57"/>
      <c r="D91" s="117" t="n">
        <f aca="false">B91+C91</f>
        <v>3017157.21662952</v>
      </c>
      <c r="E91" s="106" t="n">
        <f aca="false">IF(Z91=0,0,IF(AND(Z91=1,$H$3=1),D91*U91,IF($H$3=2,D91,"N/A")))</f>
        <v>0</v>
      </c>
      <c r="F91" s="106" t="n">
        <f aca="false">E91*Y91</f>
        <v>0</v>
      </c>
      <c r="G91" s="118" t="n">
        <f aca="false">VLOOKUP($A91,Table,MATCH(G$4,Curves,0))</f>
        <v>3</v>
      </c>
      <c r="H91" s="119" t="n">
        <f aca="false">G91+$H$7</f>
        <v>3</v>
      </c>
      <c r="I91" s="118" t="n">
        <f aca="false">'Inputs-Summary'!$B$16</f>
        <v>1.85</v>
      </c>
      <c r="J91" s="118" t="n">
        <f aca="false">VLOOKUP($A91,Table,MATCH(J$4,Curves,0))</f>
        <v>5</v>
      </c>
      <c r="K91" s="119" t="n">
        <f aca="false">J91+$K$7</f>
        <v>5</v>
      </c>
      <c r="L91" s="120" t="n">
        <f aca="false">K91</f>
        <v>5</v>
      </c>
      <c r="M91" s="118" t="n">
        <f aca="false">VLOOKUP($A91,Table,MATCH(M$4,Curves,0))</f>
        <v>5</v>
      </c>
      <c r="N91" s="119" t="n">
        <f aca="false">M91+$N$7</f>
        <v>5</v>
      </c>
      <c r="O91" s="120" t="n">
        <f aca="false">N91</f>
        <v>5</v>
      </c>
      <c r="P91" s="109"/>
      <c r="Q91" s="120" t="n">
        <f aca="false">IF($F$3=1,M91+J91+G91,J91+G91)</f>
        <v>8</v>
      </c>
      <c r="R91" s="120" t="n">
        <f aca="false">IF($F$3=1,N91+K91+H91,K91+H91)</f>
        <v>8</v>
      </c>
      <c r="S91" s="120" t="n">
        <f aca="false">IF($F$3=1,O91+L91+I91,L91+I91)</f>
        <v>6.85</v>
      </c>
      <c r="T91" s="121"/>
      <c r="U91" s="67" t="n">
        <f aca="false">A92-A91</f>
        <v>31</v>
      </c>
      <c r="V91" s="122" t="n">
        <f aca="false">CHOOSE(F$3,A92+24,A91)</f>
        <v>39722</v>
      </c>
      <c r="W91" s="67" t="n">
        <f aca="false">V91-C$3</f>
        <v>-6204</v>
      </c>
      <c r="X91" s="118" t="n">
        <f aca="false">VLOOKUP($A91,Table,MATCH(X$4,Curves,0))</f>
        <v>2</v>
      </c>
      <c r="Y91" s="123" t="n">
        <f aca="false">1/(1+CHOOSE(F$3,(X92+($K$3/10000))/2,(X91+($K$3/10000))/2))^(2*W91/365.25)</f>
        <v>16840927757.3496</v>
      </c>
      <c r="Z91" s="67" t="n">
        <f aca="false">IF(AND(mthbeg&lt;=A91,mthend&gt;=A91),1,0)</f>
        <v>0</v>
      </c>
      <c r="AA91" s="67" t="n">
        <f aca="false">U91*Z91</f>
        <v>0</v>
      </c>
      <c r="AC91" s="110" t="n">
        <f aca="false">F91*(H91-I91)</f>
        <v>0</v>
      </c>
      <c r="AD91" s="49"/>
      <c r="AE91" s="124"/>
    </row>
    <row r="92" customFormat="false" ht="12.75" hidden="false" customHeight="false" outlineLevel="0" collapsed="false">
      <c r="A92" s="115" t="n">
        <f aca="false">EDATE(A91,1)</f>
        <v>39753</v>
      </c>
      <c r="B92" s="116" t="n">
        <f aca="false">'Inputs-Summary'!$B$7</f>
        <v>3017157.21662952</v>
      </c>
      <c r="C92" s="57"/>
      <c r="D92" s="117" t="n">
        <f aca="false">B92+C92</f>
        <v>3017157.21662952</v>
      </c>
      <c r="E92" s="106" t="n">
        <f aca="false">IF(Z92=0,0,IF(AND(Z92=1,$H$3=1),D92*U92,IF($H$3=2,D92,"N/A")))</f>
        <v>0</v>
      </c>
      <c r="F92" s="106" t="n">
        <f aca="false">E92*Y92</f>
        <v>0</v>
      </c>
      <c r="G92" s="118" t="n">
        <f aca="false">VLOOKUP($A92,Table,MATCH(G$4,Curves,0))</f>
        <v>3</v>
      </c>
      <c r="H92" s="119" t="n">
        <f aca="false">G92+$H$7</f>
        <v>3</v>
      </c>
      <c r="I92" s="118" t="n">
        <f aca="false">'Inputs-Summary'!$B$16</f>
        <v>1.85</v>
      </c>
      <c r="J92" s="118" t="n">
        <f aca="false">VLOOKUP($A92,Table,MATCH(J$4,Curves,0))</f>
        <v>5</v>
      </c>
      <c r="K92" s="119" t="n">
        <f aca="false">J92+$K$7</f>
        <v>5</v>
      </c>
      <c r="L92" s="120" t="n">
        <f aca="false">K92</f>
        <v>5</v>
      </c>
      <c r="M92" s="118" t="n">
        <f aca="false">VLOOKUP($A92,Table,MATCH(M$4,Curves,0))</f>
        <v>5</v>
      </c>
      <c r="N92" s="119" t="n">
        <f aca="false">M92+$N$7</f>
        <v>5</v>
      </c>
      <c r="O92" s="120" t="n">
        <f aca="false">N92</f>
        <v>5</v>
      </c>
      <c r="P92" s="109"/>
      <c r="Q92" s="120" t="n">
        <f aca="false">IF($F$3=1,M92+J92+G92,J92+G92)</f>
        <v>8</v>
      </c>
      <c r="R92" s="120" t="n">
        <f aca="false">IF($F$3=1,N92+K92+H92,K92+H92)</f>
        <v>8</v>
      </c>
      <c r="S92" s="120" t="n">
        <f aca="false">IF($F$3=1,O92+L92+I92,L92+I92)</f>
        <v>6.85</v>
      </c>
      <c r="T92" s="121"/>
      <c r="U92" s="67" t="n">
        <f aca="false">A93-A92</f>
        <v>30</v>
      </c>
      <c r="V92" s="122" t="n">
        <f aca="false">CHOOSE(F$3,A93+24,A92)</f>
        <v>39753</v>
      </c>
      <c r="W92" s="67" t="n">
        <f aca="false">V92-C$3</f>
        <v>-6173</v>
      </c>
      <c r="X92" s="118" t="n">
        <f aca="false">VLOOKUP($A92,Table,MATCH(X$4,Curves,0))</f>
        <v>2</v>
      </c>
      <c r="Y92" s="123" t="n">
        <f aca="false">1/(1+CHOOSE(F$3,(X93+($K$3/10000))/2,(X92+($K$3/10000))/2))^(2*W92/365.25)</f>
        <v>14971563264.0299</v>
      </c>
      <c r="Z92" s="67" t="n">
        <f aca="false">IF(AND(mthbeg&lt;=A92,mthend&gt;=A92),1,0)</f>
        <v>0</v>
      </c>
      <c r="AA92" s="67" t="n">
        <f aca="false">U92*Z92</f>
        <v>0</v>
      </c>
      <c r="AC92" s="110" t="n">
        <f aca="false">F92*(H92-I92)</f>
        <v>0</v>
      </c>
      <c r="AD92" s="49"/>
      <c r="AE92" s="124"/>
    </row>
    <row r="93" customFormat="false" ht="12.75" hidden="false" customHeight="false" outlineLevel="0" collapsed="false">
      <c r="A93" s="115" t="n">
        <f aca="false">EDATE(A92,1)</f>
        <v>39783</v>
      </c>
      <c r="B93" s="116" t="n">
        <f aca="false">'Inputs-Summary'!$B$7</f>
        <v>3017157.21662952</v>
      </c>
      <c r="C93" s="57"/>
      <c r="D93" s="117" t="n">
        <f aca="false">B93+C93</f>
        <v>3017157.21662952</v>
      </c>
      <c r="E93" s="106" t="n">
        <f aca="false">IF(Z93=0,0,IF(AND(Z93=1,$H$3=1),D93*U93,IF($H$3=2,D93,"N/A")))</f>
        <v>0</v>
      </c>
      <c r="F93" s="106" t="n">
        <f aca="false">E93*Y93</f>
        <v>0</v>
      </c>
      <c r="G93" s="118" t="n">
        <f aca="false">VLOOKUP($A93,Table,MATCH(G$4,Curves,0))</f>
        <v>3</v>
      </c>
      <c r="H93" s="119" t="n">
        <f aca="false">G93+$H$7</f>
        <v>3</v>
      </c>
      <c r="I93" s="118" t="n">
        <f aca="false">'Inputs-Summary'!$B$16</f>
        <v>1.85</v>
      </c>
      <c r="J93" s="118" t="n">
        <f aca="false">VLOOKUP($A93,Table,MATCH(J$4,Curves,0))</f>
        <v>5</v>
      </c>
      <c r="K93" s="119" t="n">
        <f aca="false">J93+$K$7</f>
        <v>5</v>
      </c>
      <c r="L93" s="120" t="n">
        <f aca="false">K93</f>
        <v>5</v>
      </c>
      <c r="M93" s="118" t="n">
        <f aca="false">VLOOKUP($A93,Table,MATCH(M$4,Curves,0))</f>
        <v>5</v>
      </c>
      <c r="N93" s="119" t="n">
        <f aca="false">M93+$N$7</f>
        <v>5</v>
      </c>
      <c r="O93" s="120" t="n">
        <f aca="false">N93</f>
        <v>5</v>
      </c>
      <c r="P93" s="109"/>
      <c r="Q93" s="120" t="n">
        <f aca="false">IF($F$3=1,M93+J93+G93,J93+G93)</f>
        <v>8</v>
      </c>
      <c r="R93" s="120" t="n">
        <f aca="false">IF($F$3=1,N93+K93+H93,K93+H93)</f>
        <v>8</v>
      </c>
      <c r="S93" s="120" t="n">
        <f aca="false">IF($F$3=1,O93+L93+I93,L93+I93)</f>
        <v>6.85</v>
      </c>
      <c r="T93" s="121"/>
      <c r="U93" s="67" t="n">
        <f aca="false">A94-A93</f>
        <v>31</v>
      </c>
      <c r="V93" s="122" t="n">
        <f aca="false">CHOOSE(F$3,A94+24,A93)</f>
        <v>39783</v>
      </c>
      <c r="W93" s="67" t="n">
        <f aca="false">V93-C$3</f>
        <v>-6143</v>
      </c>
      <c r="X93" s="118" t="n">
        <f aca="false">VLOOKUP($A93,Table,MATCH(X$4,Curves,0))</f>
        <v>2</v>
      </c>
      <c r="Y93" s="123" t="n">
        <f aca="false">1/(1+CHOOSE(F$3,(X94+($K$3/10000))/2,(X93+($K$3/10000))/2))^(2*W93/365.25)</f>
        <v>13360313136.5817</v>
      </c>
      <c r="Z93" s="67" t="n">
        <f aca="false">IF(AND(mthbeg&lt;=A93,mthend&gt;=A93),1,0)</f>
        <v>0</v>
      </c>
      <c r="AA93" s="67" t="n">
        <f aca="false">U93*Z93</f>
        <v>0</v>
      </c>
      <c r="AC93" s="110" t="n">
        <f aca="false">F93*(H93-I93)</f>
        <v>0</v>
      </c>
      <c r="AD93" s="49"/>
      <c r="AE93" s="124"/>
    </row>
    <row r="94" customFormat="false" ht="12.75" hidden="false" customHeight="false" outlineLevel="0" collapsed="false">
      <c r="A94" s="115" t="n">
        <f aca="false">EDATE(A93,1)</f>
        <v>39814</v>
      </c>
      <c r="B94" s="116" t="n">
        <f aca="false">'Inputs-Summary'!$B$7</f>
        <v>3017157.21662952</v>
      </c>
      <c r="C94" s="57"/>
      <c r="D94" s="117" t="n">
        <f aca="false">B94+C94</f>
        <v>3017157.21662952</v>
      </c>
      <c r="E94" s="106" t="n">
        <f aca="false">IF(Z94=0,0,IF(AND(Z94=1,$H$3=1),D94*U94,IF($H$3=2,D94,"N/A")))</f>
        <v>0</v>
      </c>
      <c r="F94" s="106" t="n">
        <f aca="false">E94*Y94</f>
        <v>0</v>
      </c>
      <c r="G94" s="118" t="n">
        <f aca="false">VLOOKUP($A94,Table,MATCH(G$4,Curves,0))</f>
        <v>3</v>
      </c>
      <c r="H94" s="119" t="n">
        <f aca="false">G94+$H$7</f>
        <v>3</v>
      </c>
      <c r="I94" s="118" t="n">
        <f aca="false">'Inputs-Summary'!$B$16</f>
        <v>1.85</v>
      </c>
      <c r="J94" s="118" t="n">
        <f aca="false">VLOOKUP($A94,Table,MATCH(J$4,Curves,0))</f>
        <v>5</v>
      </c>
      <c r="K94" s="119" t="n">
        <f aca="false">J94+$K$7</f>
        <v>5</v>
      </c>
      <c r="L94" s="120" t="n">
        <f aca="false">K94</f>
        <v>5</v>
      </c>
      <c r="M94" s="118" t="n">
        <f aca="false">VLOOKUP($A94,Table,MATCH(M$4,Curves,0))</f>
        <v>5</v>
      </c>
      <c r="N94" s="119" t="n">
        <f aca="false">M94+$N$7</f>
        <v>5</v>
      </c>
      <c r="O94" s="120" t="n">
        <f aca="false">N94</f>
        <v>5</v>
      </c>
      <c r="P94" s="109"/>
      <c r="Q94" s="120" t="n">
        <f aca="false">IF($F$3=1,M94+J94+G94,J94+G94)</f>
        <v>8</v>
      </c>
      <c r="R94" s="120" t="n">
        <f aca="false">IF($F$3=1,N94+K94+H94,K94+H94)</f>
        <v>8</v>
      </c>
      <c r="S94" s="120" t="n">
        <f aca="false">IF($F$3=1,O94+L94+I94,L94+I94)</f>
        <v>6.85</v>
      </c>
      <c r="T94" s="121"/>
      <c r="U94" s="67" t="n">
        <f aca="false">A95-A94</f>
        <v>31</v>
      </c>
      <c r="V94" s="122" t="n">
        <f aca="false">CHOOSE(F$3,A95+24,A94)</f>
        <v>39814</v>
      </c>
      <c r="W94" s="67" t="n">
        <f aca="false">V94-C$3</f>
        <v>-6112</v>
      </c>
      <c r="X94" s="118" t="n">
        <f aca="false">VLOOKUP($A94,Table,MATCH(X$4,Curves,0))</f>
        <v>2</v>
      </c>
      <c r="Y94" s="123" t="n">
        <f aca="false">1/(1+CHOOSE(F$3,(X95+($K$3/10000))/2,(X94+($K$3/10000))/2))^(2*W94/365.25)</f>
        <v>11877301312.2326</v>
      </c>
      <c r="Z94" s="67" t="n">
        <f aca="false">IF(AND(mthbeg&lt;=A94,mthend&gt;=A94),1,0)</f>
        <v>0</v>
      </c>
      <c r="AA94" s="67" t="n">
        <f aca="false">U94*Z94</f>
        <v>0</v>
      </c>
      <c r="AC94" s="110" t="n">
        <f aca="false">F94*(H94-I94)</f>
        <v>0</v>
      </c>
      <c r="AD94" s="49"/>
      <c r="AE94" s="124"/>
    </row>
    <row r="95" customFormat="false" ht="12.75" hidden="false" customHeight="false" outlineLevel="0" collapsed="false">
      <c r="A95" s="115" t="n">
        <f aca="false">EDATE(A94,1)</f>
        <v>39845</v>
      </c>
      <c r="B95" s="116" t="n">
        <f aca="false">'Inputs-Summary'!$B$7</f>
        <v>3017157.21662952</v>
      </c>
      <c r="C95" s="57"/>
      <c r="D95" s="117" t="n">
        <f aca="false">B95+C95</f>
        <v>3017157.21662952</v>
      </c>
      <c r="E95" s="106" t="n">
        <f aca="false">IF(Z95=0,0,IF(AND(Z95=1,$H$3=1),D95*U95,IF($H$3=2,D95,"N/A")))</f>
        <v>0</v>
      </c>
      <c r="F95" s="106" t="n">
        <f aca="false">E95*Y95</f>
        <v>0</v>
      </c>
      <c r="G95" s="118" t="n">
        <f aca="false">VLOOKUP($A95,Table,MATCH(G$4,Curves,0))</f>
        <v>3</v>
      </c>
      <c r="H95" s="119" t="n">
        <f aca="false">G95+$H$7</f>
        <v>3</v>
      </c>
      <c r="I95" s="118" t="n">
        <f aca="false">'Inputs-Summary'!$B$16</f>
        <v>1.85</v>
      </c>
      <c r="J95" s="118" t="n">
        <f aca="false">VLOOKUP($A95,Table,MATCH(J$4,Curves,0))</f>
        <v>5</v>
      </c>
      <c r="K95" s="119" t="n">
        <f aca="false">J95+$K$7</f>
        <v>5</v>
      </c>
      <c r="L95" s="120" t="n">
        <f aca="false">K95</f>
        <v>5</v>
      </c>
      <c r="M95" s="118" t="n">
        <f aca="false">VLOOKUP($A95,Table,MATCH(M$4,Curves,0))</f>
        <v>5</v>
      </c>
      <c r="N95" s="119" t="n">
        <f aca="false">M95+$N$7</f>
        <v>5</v>
      </c>
      <c r="O95" s="120" t="n">
        <f aca="false">N95</f>
        <v>5</v>
      </c>
      <c r="P95" s="109"/>
      <c r="Q95" s="120" t="n">
        <f aca="false">IF($F$3=1,M95+J95+G95,J95+G95)</f>
        <v>8</v>
      </c>
      <c r="R95" s="120" t="n">
        <f aca="false">IF($F$3=1,N95+K95+H95,K95+H95)</f>
        <v>8</v>
      </c>
      <c r="S95" s="120" t="n">
        <f aca="false">IF($F$3=1,O95+L95+I95,L95+I95)</f>
        <v>6.85</v>
      </c>
      <c r="T95" s="121"/>
      <c r="U95" s="67" t="n">
        <f aca="false">A96-A95</f>
        <v>28</v>
      </c>
      <c r="V95" s="122" t="n">
        <f aca="false">CHOOSE(F$3,A96+24,A95)</f>
        <v>39845</v>
      </c>
      <c r="W95" s="67" t="n">
        <f aca="false">V95-C$3</f>
        <v>-6081</v>
      </c>
      <c r="X95" s="118" t="n">
        <f aca="false">VLOOKUP($A95,Table,MATCH(X$4,Curves,0))</f>
        <v>2</v>
      </c>
      <c r="Y95" s="123" t="n">
        <f aca="false">1/(1+CHOOSE(F$3,(X96+($K$3/10000))/2,(X95+($K$3/10000))/2))^(2*W95/365.25)</f>
        <v>10558905694.755</v>
      </c>
      <c r="Z95" s="67" t="n">
        <f aca="false">IF(AND(mthbeg&lt;=A95,mthend&gt;=A95),1,0)</f>
        <v>0</v>
      </c>
      <c r="AA95" s="67" t="n">
        <f aca="false">U95*Z95</f>
        <v>0</v>
      </c>
      <c r="AC95" s="110" t="n">
        <f aca="false">F95*(H95-I95)</f>
        <v>0</v>
      </c>
      <c r="AD95" s="49"/>
      <c r="AE95" s="124"/>
    </row>
    <row r="96" customFormat="false" ht="12.75" hidden="false" customHeight="false" outlineLevel="0" collapsed="false">
      <c r="A96" s="115" t="n">
        <f aca="false">EDATE(A95,1)</f>
        <v>39873</v>
      </c>
      <c r="B96" s="116" t="n">
        <f aca="false">'Inputs-Summary'!$B$7</f>
        <v>3017157.21662952</v>
      </c>
      <c r="C96" s="57"/>
      <c r="D96" s="117" t="n">
        <f aca="false">B96+C96</f>
        <v>3017157.21662952</v>
      </c>
      <c r="E96" s="106" t="n">
        <f aca="false">IF(Z96=0,0,IF(AND(Z96=1,$H$3=1),D96*U96,IF($H$3=2,D96,"N/A")))</f>
        <v>0</v>
      </c>
      <c r="F96" s="106" t="n">
        <f aca="false">E96*Y96</f>
        <v>0</v>
      </c>
      <c r="G96" s="118" t="n">
        <f aca="false">VLOOKUP($A96,Table,MATCH(G$4,Curves,0))</f>
        <v>3</v>
      </c>
      <c r="H96" s="119" t="n">
        <f aca="false">G96+$H$7</f>
        <v>3</v>
      </c>
      <c r="I96" s="118" t="n">
        <f aca="false">'Inputs-Summary'!$B$16</f>
        <v>1.85</v>
      </c>
      <c r="J96" s="118" t="n">
        <f aca="false">VLOOKUP($A96,Table,MATCH(J$4,Curves,0))</f>
        <v>5</v>
      </c>
      <c r="K96" s="119" t="n">
        <f aca="false">J96+$K$7</f>
        <v>5</v>
      </c>
      <c r="L96" s="120" t="n">
        <f aca="false">K96</f>
        <v>5</v>
      </c>
      <c r="M96" s="118" t="n">
        <f aca="false">VLOOKUP($A96,Table,MATCH(M$4,Curves,0))</f>
        <v>5</v>
      </c>
      <c r="N96" s="119" t="n">
        <f aca="false">M96+$N$7</f>
        <v>5</v>
      </c>
      <c r="O96" s="120" t="n">
        <f aca="false">N96</f>
        <v>5</v>
      </c>
      <c r="P96" s="109"/>
      <c r="Q96" s="120" t="n">
        <f aca="false">IF($F$3=1,M96+J96+G96,J96+G96)</f>
        <v>8</v>
      </c>
      <c r="R96" s="120" t="n">
        <f aca="false">IF($F$3=1,N96+K96+H96,K96+H96)</f>
        <v>8</v>
      </c>
      <c r="S96" s="120" t="n">
        <f aca="false">IF($F$3=1,O96+L96+I96,L96+I96)</f>
        <v>6.85</v>
      </c>
      <c r="T96" s="121"/>
      <c r="U96" s="67" t="n">
        <f aca="false">A97-A96</f>
        <v>31</v>
      </c>
      <c r="V96" s="122" t="n">
        <f aca="false">CHOOSE(F$3,A97+24,A96)</f>
        <v>39873</v>
      </c>
      <c r="W96" s="67" t="n">
        <f aca="false">V96-C$3</f>
        <v>-6053</v>
      </c>
      <c r="X96" s="118" t="n">
        <f aca="false">VLOOKUP($A96,Table,MATCH(X$4,Curves,0))</f>
        <v>2</v>
      </c>
      <c r="Y96" s="123" t="n">
        <f aca="false">1/(1+CHOOSE(F$3,(X97+($K$3/10000))/2,(X96+($K$3/10000))/2))^(2*W96/365.25)</f>
        <v>9494346977.58271</v>
      </c>
      <c r="Z96" s="67" t="n">
        <f aca="false">IF(AND(mthbeg&lt;=A96,mthend&gt;=A96),1,0)</f>
        <v>0</v>
      </c>
      <c r="AA96" s="67" t="n">
        <f aca="false">U96*Z96</f>
        <v>0</v>
      </c>
      <c r="AC96" s="110" t="n">
        <f aca="false">F96*(H96-I96)</f>
        <v>0</v>
      </c>
      <c r="AD96" s="49"/>
      <c r="AE96" s="124"/>
    </row>
    <row r="97" customFormat="false" ht="12.75" hidden="false" customHeight="false" outlineLevel="0" collapsed="false">
      <c r="A97" s="115" t="n">
        <f aca="false">EDATE(A96,1)</f>
        <v>39904</v>
      </c>
      <c r="B97" s="116" t="n">
        <f aca="false">'Inputs-Summary'!$B$7</f>
        <v>3017157.21662952</v>
      </c>
      <c r="C97" s="57"/>
      <c r="D97" s="117" t="n">
        <f aca="false">B97+C97</f>
        <v>3017157.21662952</v>
      </c>
      <c r="E97" s="106" t="n">
        <f aca="false">IF(Z97=0,0,IF(AND(Z97=1,$H$3=1),D97*U97,IF($H$3=2,D97,"N/A")))</f>
        <v>0</v>
      </c>
      <c r="F97" s="106" t="n">
        <f aca="false">E97*Y97</f>
        <v>0</v>
      </c>
      <c r="G97" s="118" t="n">
        <f aca="false">VLOOKUP($A97,Table,MATCH(G$4,Curves,0))</f>
        <v>3</v>
      </c>
      <c r="H97" s="119" t="n">
        <f aca="false">G97+$H$7</f>
        <v>3</v>
      </c>
      <c r="I97" s="118" t="n">
        <f aca="false">'Inputs-Summary'!$B$16</f>
        <v>1.85</v>
      </c>
      <c r="J97" s="118" t="n">
        <f aca="false">VLOOKUP($A97,Table,MATCH(J$4,Curves,0))</f>
        <v>5</v>
      </c>
      <c r="K97" s="119" t="n">
        <f aca="false">J97+$K$7</f>
        <v>5</v>
      </c>
      <c r="L97" s="120" t="n">
        <f aca="false">K97</f>
        <v>5</v>
      </c>
      <c r="M97" s="118" t="n">
        <f aca="false">VLOOKUP($A97,Table,MATCH(M$4,Curves,0))</f>
        <v>5</v>
      </c>
      <c r="N97" s="119" t="n">
        <f aca="false">M97+$N$7</f>
        <v>5</v>
      </c>
      <c r="O97" s="120" t="n">
        <f aca="false">N97</f>
        <v>5</v>
      </c>
      <c r="P97" s="109"/>
      <c r="Q97" s="120" t="n">
        <f aca="false">IF($F$3=1,M97+J97+G97,J97+G97)</f>
        <v>8</v>
      </c>
      <c r="R97" s="120" t="n">
        <f aca="false">IF($F$3=1,N97+K97+H97,K97+H97)</f>
        <v>8</v>
      </c>
      <c r="S97" s="120" t="n">
        <f aca="false">IF($F$3=1,O97+L97+I97,L97+I97)</f>
        <v>6.85</v>
      </c>
      <c r="T97" s="121"/>
      <c r="U97" s="67" t="n">
        <f aca="false">A98-A97</f>
        <v>30</v>
      </c>
      <c r="V97" s="122" t="n">
        <f aca="false">CHOOSE(F$3,A98+24,A97)</f>
        <v>39904</v>
      </c>
      <c r="W97" s="67" t="n">
        <f aca="false">V97-C$3</f>
        <v>-6022</v>
      </c>
      <c r="X97" s="118" t="n">
        <f aca="false">VLOOKUP($A97,Table,MATCH(X$4,Curves,0))</f>
        <v>2</v>
      </c>
      <c r="Y97" s="123" t="n">
        <f aca="false">1/(1+CHOOSE(F$3,(X98+($K$3/10000))/2,(X97+($K$3/10000))/2))^(2*W97/365.25)</f>
        <v>8440462335.188</v>
      </c>
      <c r="Z97" s="67" t="n">
        <f aca="false">IF(AND(mthbeg&lt;=A97,mthend&gt;=A97),1,0)</f>
        <v>0</v>
      </c>
      <c r="AA97" s="67" t="n">
        <f aca="false">U97*Z97</f>
        <v>0</v>
      </c>
      <c r="AC97" s="110" t="n">
        <f aca="false">F97*(H97-I97)</f>
        <v>0</v>
      </c>
      <c r="AD97" s="49"/>
      <c r="AE97" s="124"/>
    </row>
    <row r="98" customFormat="false" ht="12.75" hidden="false" customHeight="false" outlineLevel="0" collapsed="false">
      <c r="A98" s="115" t="n">
        <f aca="false">EDATE(A97,1)</f>
        <v>39934</v>
      </c>
      <c r="B98" s="116" t="n">
        <f aca="false">'Inputs-Summary'!$B$7</f>
        <v>3017157.21662952</v>
      </c>
      <c r="C98" s="57"/>
      <c r="D98" s="117" t="n">
        <f aca="false">B98+C98</f>
        <v>3017157.21662952</v>
      </c>
      <c r="E98" s="106" t="n">
        <f aca="false">IF(Z98=0,0,IF(AND(Z98=1,$H$3=1),D98*U98,IF($H$3=2,D98,"N/A")))</f>
        <v>0</v>
      </c>
      <c r="F98" s="106" t="n">
        <f aca="false">E98*Y98</f>
        <v>0</v>
      </c>
      <c r="G98" s="118" t="n">
        <f aca="false">VLOOKUP($A98,Table,MATCH(G$4,Curves,0))</f>
        <v>3</v>
      </c>
      <c r="H98" s="119" t="n">
        <f aca="false">G98+$H$7</f>
        <v>3</v>
      </c>
      <c r="I98" s="118" t="n">
        <f aca="false">'Inputs-Summary'!$B$16</f>
        <v>1.85</v>
      </c>
      <c r="J98" s="118" t="n">
        <f aca="false">VLOOKUP($A98,Table,MATCH(J$4,Curves,0))</f>
        <v>5</v>
      </c>
      <c r="K98" s="119" t="n">
        <f aca="false">J98+$K$7</f>
        <v>5</v>
      </c>
      <c r="L98" s="120" t="n">
        <f aca="false">K98</f>
        <v>5</v>
      </c>
      <c r="M98" s="118" t="n">
        <f aca="false">VLOOKUP($A98,Table,MATCH(M$4,Curves,0))</f>
        <v>5</v>
      </c>
      <c r="N98" s="119" t="n">
        <f aca="false">M98+$N$7</f>
        <v>5</v>
      </c>
      <c r="O98" s="120" t="n">
        <f aca="false">N98</f>
        <v>5</v>
      </c>
      <c r="P98" s="109"/>
      <c r="Q98" s="120" t="n">
        <f aca="false">IF($F$3=1,M98+J98+G98,J98+G98)</f>
        <v>8</v>
      </c>
      <c r="R98" s="120" t="n">
        <f aca="false">IF($F$3=1,N98+K98+H98,K98+H98)</f>
        <v>8</v>
      </c>
      <c r="S98" s="120" t="n">
        <f aca="false">IF($F$3=1,O98+L98+I98,L98+I98)</f>
        <v>6.85</v>
      </c>
      <c r="T98" s="121"/>
      <c r="U98" s="67" t="n">
        <f aca="false">A99-A98</f>
        <v>31</v>
      </c>
      <c r="V98" s="122" t="n">
        <f aca="false">CHOOSE(F$3,A99+24,A98)</f>
        <v>39934</v>
      </c>
      <c r="W98" s="67" t="n">
        <f aca="false">V98-C$3</f>
        <v>-5992</v>
      </c>
      <c r="X98" s="118" t="n">
        <f aca="false">VLOOKUP($A98,Table,MATCH(X$4,Curves,0))</f>
        <v>2</v>
      </c>
      <c r="Y98" s="123" t="n">
        <f aca="false">1/(1+CHOOSE(F$3,(X99+($K$3/10000))/2,(X98+($K$3/10000))/2))^(2*W98/365.25)</f>
        <v>7532093865.34567</v>
      </c>
      <c r="Z98" s="67" t="n">
        <f aca="false">IF(AND(mthbeg&lt;=A98,mthend&gt;=A98),1,0)</f>
        <v>0</v>
      </c>
      <c r="AA98" s="67" t="n">
        <f aca="false">U98*Z98</f>
        <v>0</v>
      </c>
      <c r="AC98" s="110" t="n">
        <f aca="false">F98*(H98-I98)</f>
        <v>0</v>
      </c>
      <c r="AD98" s="49"/>
      <c r="AE98" s="124"/>
    </row>
    <row r="99" customFormat="false" ht="12.75" hidden="false" customHeight="false" outlineLevel="0" collapsed="false">
      <c r="A99" s="115" t="n">
        <f aca="false">EDATE(A98,1)</f>
        <v>39965</v>
      </c>
      <c r="B99" s="116" t="n">
        <f aca="false">'Inputs-Summary'!$B$7</f>
        <v>3017157.21662952</v>
      </c>
      <c r="C99" s="57"/>
      <c r="D99" s="117" t="n">
        <f aca="false">B99+C99</f>
        <v>3017157.21662952</v>
      </c>
      <c r="E99" s="106" t="n">
        <f aca="false">IF(Z99=0,0,IF(AND(Z99=1,$H$3=1),D99*U99,IF($H$3=2,D99,"N/A")))</f>
        <v>0</v>
      </c>
      <c r="F99" s="106" t="n">
        <f aca="false">E99*Y99</f>
        <v>0</v>
      </c>
      <c r="G99" s="118" t="n">
        <f aca="false">VLOOKUP($A99,Table,MATCH(G$4,Curves,0))</f>
        <v>3</v>
      </c>
      <c r="H99" s="119" t="n">
        <f aca="false">G99+$H$7</f>
        <v>3</v>
      </c>
      <c r="I99" s="118" t="n">
        <f aca="false">'Inputs-Summary'!$B$16</f>
        <v>1.85</v>
      </c>
      <c r="J99" s="118" t="n">
        <f aca="false">VLOOKUP($A99,Table,MATCH(J$4,Curves,0))</f>
        <v>5</v>
      </c>
      <c r="K99" s="119" t="n">
        <f aca="false">J99+$K$7</f>
        <v>5</v>
      </c>
      <c r="L99" s="120" t="n">
        <f aca="false">K99</f>
        <v>5</v>
      </c>
      <c r="M99" s="118" t="n">
        <f aca="false">VLOOKUP($A99,Table,MATCH(M$4,Curves,0))</f>
        <v>5</v>
      </c>
      <c r="N99" s="119" t="n">
        <f aca="false">M99+$N$7</f>
        <v>5</v>
      </c>
      <c r="O99" s="120" t="n">
        <f aca="false">N99</f>
        <v>5</v>
      </c>
      <c r="P99" s="109"/>
      <c r="Q99" s="120" t="n">
        <f aca="false">IF($F$3=1,M99+J99+G99,J99+G99)</f>
        <v>8</v>
      </c>
      <c r="R99" s="120" t="n">
        <f aca="false">IF($F$3=1,N99+K99+H99,K99+H99)</f>
        <v>8</v>
      </c>
      <c r="S99" s="120" t="n">
        <f aca="false">IF($F$3=1,O99+L99+I99,L99+I99)</f>
        <v>6.85</v>
      </c>
      <c r="T99" s="121"/>
      <c r="U99" s="67" t="n">
        <f aca="false">A100-A99</f>
        <v>30</v>
      </c>
      <c r="V99" s="122" t="n">
        <f aca="false">CHOOSE(F$3,A100+24,A99)</f>
        <v>39965</v>
      </c>
      <c r="W99" s="67" t="n">
        <f aca="false">V99-C$3</f>
        <v>-5961</v>
      </c>
      <c r="X99" s="118" t="n">
        <f aca="false">VLOOKUP($A99,Table,MATCH(X$4,Curves,0))</f>
        <v>2</v>
      </c>
      <c r="Y99" s="123" t="n">
        <f aca="false">1/(1+CHOOSE(F$3,(X100+($K$3/10000))/2,(X99+($K$3/10000))/2))^(2*W99/365.25)</f>
        <v>6696021824.95093</v>
      </c>
      <c r="Z99" s="67" t="n">
        <f aca="false">IF(AND(mthbeg&lt;=A99,mthend&gt;=A99),1,0)</f>
        <v>0</v>
      </c>
      <c r="AA99" s="67" t="n">
        <f aca="false">U99*Z99</f>
        <v>0</v>
      </c>
      <c r="AC99" s="110" t="n">
        <f aca="false">F99*(H99-I99)</f>
        <v>0</v>
      </c>
      <c r="AD99" s="49"/>
      <c r="AE99" s="124"/>
    </row>
    <row r="100" customFormat="false" ht="12.75" hidden="false" customHeight="false" outlineLevel="0" collapsed="false">
      <c r="A100" s="115" t="n">
        <f aca="false">EDATE(A99,1)</f>
        <v>39995</v>
      </c>
      <c r="B100" s="116" t="n">
        <f aca="false">'Inputs-Summary'!$B$7</f>
        <v>3017157.21662952</v>
      </c>
      <c r="C100" s="57"/>
      <c r="D100" s="117" t="n">
        <f aca="false">B100+C100</f>
        <v>3017157.21662952</v>
      </c>
      <c r="E100" s="106" t="n">
        <f aca="false">IF(Z100=0,0,IF(AND(Z100=1,$H$3=1),D100*U100,IF($H$3=2,D100,"N/A")))</f>
        <v>0</v>
      </c>
      <c r="F100" s="106" t="n">
        <f aca="false">E100*Y100</f>
        <v>0</v>
      </c>
      <c r="G100" s="118" t="n">
        <f aca="false">VLOOKUP($A100,Table,MATCH(G$4,Curves,0))</f>
        <v>3</v>
      </c>
      <c r="H100" s="119" t="n">
        <f aca="false">G100+$H$7</f>
        <v>3</v>
      </c>
      <c r="I100" s="118" t="n">
        <f aca="false">'Inputs-Summary'!$B$16</f>
        <v>1.85</v>
      </c>
      <c r="J100" s="118" t="n">
        <f aca="false">VLOOKUP($A100,Table,MATCH(J$4,Curves,0))</f>
        <v>5</v>
      </c>
      <c r="K100" s="119" t="n">
        <f aca="false">J100+$K$7</f>
        <v>5</v>
      </c>
      <c r="L100" s="120" t="n">
        <f aca="false">K100</f>
        <v>5</v>
      </c>
      <c r="M100" s="118" t="n">
        <f aca="false">VLOOKUP($A100,Table,MATCH(M$4,Curves,0))</f>
        <v>5</v>
      </c>
      <c r="N100" s="119" t="n">
        <f aca="false">M100+$N$7</f>
        <v>5</v>
      </c>
      <c r="O100" s="120" t="n">
        <f aca="false">N100</f>
        <v>5</v>
      </c>
      <c r="P100" s="109"/>
      <c r="Q100" s="120" t="n">
        <f aca="false">IF($F$3=1,M100+J100+G100,J100+G100)</f>
        <v>8</v>
      </c>
      <c r="R100" s="120" t="n">
        <f aca="false">IF($F$3=1,N100+K100+H100,K100+H100)</f>
        <v>8</v>
      </c>
      <c r="S100" s="120" t="n">
        <f aca="false">IF($F$3=1,O100+L100+I100,L100+I100)</f>
        <v>6.85</v>
      </c>
      <c r="T100" s="121"/>
      <c r="U100" s="67" t="n">
        <f aca="false">A101-A100</f>
        <v>31</v>
      </c>
      <c r="V100" s="122" t="n">
        <f aca="false">CHOOSE(F$3,A101+24,A100)</f>
        <v>39995</v>
      </c>
      <c r="W100" s="67" t="n">
        <f aca="false">V100-C$3</f>
        <v>-5931</v>
      </c>
      <c r="X100" s="118" t="n">
        <f aca="false">VLOOKUP($A100,Table,MATCH(X$4,Curves,0))</f>
        <v>2</v>
      </c>
      <c r="Y100" s="123" t="n">
        <f aca="false">1/(1+CHOOSE(F$3,(X101+($K$3/10000))/2,(X100+($K$3/10000))/2))^(2*W100/365.25)</f>
        <v>5975391264.96328</v>
      </c>
      <c r="Z100" s="67" t="n">
        <f aca="false">IF(AND(mthbeg&lt;=A100,mthend&gt;=A100),1,0)</f>
        <v>0</v>
      </c>
      <c r="AA100" s="67" t="n">
        <f aca="false">U100*Z100</f>
        <v>0</v>
      </c>
      <c r="AC100" s="110" t="n">
        <f aca="false">F100*(H100-I100)</f>
        <v>0</v>
      </c>
      <c r="AD100" s="49"/>
      <c r="AE100" s="124"/>
    </row>
    <row r="101" customFormat="false" ht="12.75" hidden="false" customHeight="false" outlineLevel="0" collapsed="false">
      <c r="A101" s="115" t="n">
        <f aca="false">EDATE(A100,1)</f>
        <v>40026</v>
      </c>
      <c r="B101" s="116" t="n">
        <f aca="false">'Inputs-Summary'!$B$7</f>
        <v>3017157.21662952</v>
      </c>
      <c r="C101" s="57"/>
      <c r="D101" s="117" t="n">
        <f aca="false">B101+C101</f>
        <v>3017157.21662952</v>
      </c>
      <c r="E101" s="106" t="n">
        <f aca="false">IF(Z101=0,0,IF(AND(Z101=1,$H$3=1),D101*U101,IF($H$3=2,D101,"N/A")))</f>
        <v>0</v>
      </c>
      <c r="F101" s="106" t="n">
        <f aca="false">E101*Y101</f>
        <v>0</v>
      </c>
      <c r="G101" s="118" t="n">
        <f aca="false">VLOOKUP($A101,Table,MATCH(G$4,Curves,0))</f>
        <v>3</v>
      </c>
      <c r="H101" s="119" t="n">
        <f aca="false">G101+$H$7</f>
        <v>3</v>
      </c>
      <c r="I101" s="118" t="n">
        <f aca="false">'Inputs-Summary'!$B$16</f>
        <v>1.85</v>
      </c>
      <c r="J101" s="118" t="n">
        <f aca="false">VLOOKUP($A101,Table,MATCH(J$4,Curves,0))</f>
        <v>5</v>
      </c>
      <c r="K101" s="119" t="n">
        <f aca="false">J101+$K$7</f>
        <v>5</v>
      </c>
      <c r="L101" s="120" t="n">
        <f aca="false">K101</f>
        <v>5</v>
      </c>
      <c r="M101" s="118" t="n">
        <f aca="false">VLOOKUP($A101,Table,MATCH(M$4,Curves,0))</f>
        <v>5</v>
      </c>
      <c r="N101" s="119" t="n">
        <f aca="false">M101+$N$7</f>
        <v>5</v>
      </c>
      <c r="O101" s="120" t="n">
        <f aca="false">N101</f>
        <v>5</v>
      </c>
      <c r="P101" s="109"/>
      <c r="Q101" s="120" t="n">
        <f aca="false">IF($F$3=1,M101+J101+G101,J101+G101)</f>
        <v>8</v>
      </c>
      <c r="R101" s="120" t="n">
        <f aca="false">IF($F$3=1,N101+K101+H101,K101+H101)</f>
        <v>8</v>
      </c>
      <c r="S101" s="120" t="n">
        <f aca="false">IF($F$3=1,O101+L101+I101,L101+I101)</f>
        <v>6.85</v>
      </c>
      <c r="T101" s="121"/>
      <c r="U101" s="67" t="n">
        <f aca="false">A102-A101</f>
        <v>31</v>
      </c>
      <c r="V101" s="122" t="n">
        <f aca="false">CHOOSE(F$3,A102+24,A101)</f>
        <v>40026</v>
      </c>
      <c r="W101" s="67" t="n">
        <f aca="false">V101-C$3</f>
        <v>-5900</v>
      </c>
      <c r="X101" s="118" t="n">
        <f aca="false">VLOOKUP($A101,Table,MATCH(X$4,Curves,0))</f>
        <v>2</v>
      </c>
      <c r="Y101" s="123" t="n">
        <f aca="false">1/(1+CHOOSE(F$3,(X102+($K$3/10000))/2,(X101+($K$3/10000))/2))^(2*W101/365.25)</f>
        <v>5312115201.71078</v>
      </c>
      <c r="Z101" s="67" t="n">
        <f aca="false">IF(AND(mthbeg&lt;=A101,mthend&gt;=A101),1,0)</f>
        <v>0</v>
      </c>
      <c r="AA101" s="67" t="n">
        <f aca="false">U101*Z101</f>
        <v>0</v>
      </c>
      <c r="AC101" s="110" t="n">
        <f aca="false">F101*(H101-I101)</f>
        <v>0</v>
      </c>
      <c r="AD101" s="49"/>
      <c r="AE101" s="124"/>
    </row>
    <row r="102" customFormat="false" ht="12.75" hidden="false" customHeight="false" outlineLevel="0" collapsed="false">
      <c r="A102" s="115" t="n">
        <f aca="false">EDATE(A101,1)</f>
        <v>40057</v>
      </c>
      <c r="B102" s="116" t="n">
        <f aca="false">'Inputs-Summary'!$B$7</f>
        <v>3017157.21662952</v>
      </c>
      <c r="C102" s="57"/>
      <c r="D102" s="117" t="n">
        <f aca="false">B102+C102</f>
        <v>3017157.21662952</v>
      </c>
      <c r="E102" s="106" t="n">
        <f aca="false">IF(Z102=0,0,IF(AND(Z102=1,$H$3=1),D102*U102,IF($H$3=2,D102,"N/A")))</f>
        <v>0</v>
      </c>
      <c r="F102" s="106" t="n">
        <f aca="false">E102*Y102</f>
        <v>0</v>
      </c>
      <c r="G102" s="118" t="n">
        <f aca="false">VLOOKUP($A102,Table,MATCH(G$4,Curves,0))</f>
        <v>3</v>
      </c>
      <c r="H102" s="119" t="n">
        <f aca="false">G102+$H$7</f>
        <v>3</v>
      </c>
      <c r="I102" s="118" t="n">
        <f aca="false">'Inputs-Summary'!$B$16</f>
        <v>1.85</v>
      </c>
      <c r="J102" s="118" t="n">
        <f aca="false">VLOOKUP($A102,Table,MATCH(J$4,Curves,0))</f>
        <v>5</v>
      </c>
      <c r="K102" s="119" t="n">
        <f aca="false">J102+$K$7</f>
        <v>5</v>
      </c>
      <c r="L102" s="120" t="n">
        <f aca="false">K102</f>
        <v>5</v>
      </c>
      <c r="M102" s="118" t="n">
        <f aca="false">VLOOKUP($A102,Table,MATCH(M$4,Curves,0))</f>
        <v>5</v>
      </c>
      <c r="N102" s="119" t="n">
        <f aca="false">M102+$N$7</f>
        <v>5</v>
      </c>
      <c r="O102" s="120" t="n">
        <f aca="false">N102</f>
        <v>5</v>
      </c>
      <c r="P102" s="109"/>
      <c r="Q102" s="120" t="n">
        <f aca="false">IF($F$3=1,M102+J102+G102,J102+G102)</f>
        <v>8</v>
      </c>
      <c r="R102" s="120" t="n">
        <f aca="false">IF($F$3=1,N102+K102+H102,K102+H102)</f>
        <v>8</v>
      </c>
      <c r="S102" s="120" t="n">
        <f aca="false">IF($F$3=1,O102+L102+I102,L102+I102)</f>
        <v>6.85</v>
      </c>
      <c r="T102" s="121"/>
      <c r="U102" s="67" t="n">
        <f aca="false">A103-A102</f>
        <v>30</v>
      </c>
      <c r="V102" s="122" t="n">
        <f aca="false">CHOOSE(F$3,A103+24,A102)</f>
        <v>40057</v>
      </c>
      <c r="W102" s="67" t="n">
        <f aca="false">V102-C$3</f>
        <v>-5869</v>
      </c>
      <c r="X102" s="118" t="n">
        <f aca="false">VLOOKUP($A102,Table,MATCH(X$4,Curves,0))</f>
        <v>2</v>
      </c>
      <c r="Y102" s="123" t="n">
        <f aca="false">1/(1+CHOOSE(F$3,(X103+($K$3/10000))/2,(X102+($K$3/10000))/2))^(2*W102/365.25)</f>
        <v>4722463628.73445</v>
      </c>
      <c r="Z102" s="67" t="n">
        <f aca="false">IF(AND(mthbeg&lt;=A102,mthend&gt;=A102),1,0)</f>
        <v>0</v>
      </c>
      <c r="AA102" s="67" t="n">
        <f aca="false">U102*Z102</f>
        <v>0</v>
      </c>
      <c r="AC102" s="110" t="n">
        <f aca="false">F102*(H102-I102)</f>
        <v>0</v>
      </c>
      <c r="AD102" s="49"/>
      <c r="AE102" s="124"/>
    </row>
    <row r="103" customFormat="false" ht="12.75" hidden="false" customHeight="false" outlineLevel="0" collapsed="false">
      <c r="A103" s="115" t="n">
        <f aca="false">EDATE(A102,1)</f>
        <v>40087</v>
      </c>
      <c r="B103" s="116" t="n">
        <f aca="false">'Inputs-Summary'!$B$7</f>
        <v>3017157.21662952</v>
      </c>
      <c r="C103" s="57"/>
      <c r="D103" s="117" t="n">
        <f aca="false">B103+C103</f>
        <v>3017157.21662952</v>
      </c>
      <c r="E103" s="106" t="n">
        <f aca="false">IF(Z103=0,0,IF(AND(Z103=1,$H$3=1),D103*U103,IF($H$3=2,D103,"N/A")))</f>
        <v>0</v>
      </c>
      <c r="F103" s="106" t="n">
        <f aca="false">E103*Y103</f>
        <v>0</v>
      </c>
      <c r="G103" s="118" t="n">
        <f aca="false">VLOOKUP($A103,Table,MATCH(G$4,Curves,0))</f>
        <v>3</v>
      </c>
      <c r="H103" s="119" t="n">
        <f aca="false">G103+$H$7</f>
        <v>3</v>
      </c>
      <c r="I103" s="118" t="n">
        <f aca="false">'Inputs-Summary'!$B$16</f>
        <v>1.85</v>
      </c>
      <c r="J103" s="118" t="n">
        <f aca="false">VLOOKUP($A103,Table,MATCH(J$4,Curves,0))</f>
        <v>5</v>
      </c>
      <c r="K103" s="119" t="n">
        <f aca="false">J103+$K$7</f>
        <v>5</v>
      </c>
      <c r="L103" s="120" t="n">
        <f aca="false">K103</f>
        <v>5</v>
      </c>
      <c r="M103" s="118" t="n">
        <f aca="false">VLOOKUP($A103,Table,MATCH(M$4,Curves,0))</f>
        <v>5</v>
      </c>
      <c r="N103" s="119" t="n">
        <f aca="false">M103+$N$7</f>
        <v>5</v>
      </c>
      <c r="O103" s="120" t="n">
        <f aca="false">N103</f>
        <v>5</v>
      </c>
      <c r="P103" s="109"/>
      <c r="Q103" s="120" t="n">
        <f aca="false">IF($F$3=1,M103+J103+G103,J103+G103)</f>
        <v>8</v>
      </c>
      <c r="R103" s="120" t="n">
        <f aca="false">IF($F$3=1,N103+K103+H103,K103+H103)</f>
        <v>8</v>
      </c>
      <c r="S103" s="120" t="n">
        <f aca="false">IF($F$3=1,O103+L103+I103,L103+I103)</f>
        <v>6.85</v>
      </c>
      <c r="T103" s="121"/>
      <c r="U103" s="67" t="n">
        <f aca="false">A104-A103</f>
        <v>31</v>
      </c>
      <c r="V103" s="122" t="n">
        <f aca="false">CHOOSE(F$3,A104+24,A103)</f>
        <v>40087</v>
      </c>
      <c r="W103" s="67" t="n">
        <f aca="false">V103-C$3</f>
        <v>-5839</v>
      </c>
      <c r="X103" s="118" t="n">
        <f aca="false">VLOOKUP($A103,Table,MATCH(X$4,Curves,0))</f>
        <v>2</v>
      </c>
      <c r="Y103" s="123" t="n">
        <f aca="false">1/(1+CHOOSE(F$3,(X104+($K$3/10000))/2,(X103+($K$3/10000))/2))^(2*W103/365.25)</f>
        <v>4214228784.48478</v>
      </c>
      <c r="Z103" s="67" t="n">
        <f aca="false">IF(AND(mthbeg&lt;=A103,mthend&gt;=A103),1,0)</f>
        <v>0</v>
      </c>
      <c r="AA103" s="67" t="n">
        <f aca="false">U103*Z103</f>
        <v>0</v>
      </c>
      <c r="AC103" s="110" t="n">
        <f aca="false">F103*(H103-I103)</f>
        <v>0</v>
      </c>
      <c r="AD103" s="49"/>
      <c r="AE103" s="124"/>
    </row>
    <row r="104" customFormat="false" ht="12.75" hidden="false" customHeight="false" outlineLevel="0" collapsed="false">
      <c r="A104" s="115" t="n">
        <f aca="false">EDATE(A103,1)</f>
        <v>40118</v>
      </c>
      <c r="B104" s="116" t="n">
        <f aca="false">'Inputs-Summary'!$B$7</f>
        <v>3017157.21662952</v>
      </c>
      <c r="C104" s="57"/>
      <c r="D104" s="117" t="n">
        <f aca="false">B104+C104</f>
        <v>3017157.21662952</v>
      </c>
      <c r="E104" s="106" t="n">
        <f aca="false">IF(Z104=0,0,IF(AND(Z104=1,$H$3=1),D104*U104,IF($H$3=2,D104,"N/A")))</f>
        <v>0</v>
      </c>
      <c r="F104" s="106" t="n">
        <f aca="false">E104*Y104</f>
        <v>0</v>
      </c>
      <c r="G104" s="118" t="n">
        <f aca="false">VLOOKUP($A104,Table,MATCH(G$4,Curves,0))</f>
        <v>3</v>
      </c>
      <c r="H104" s="119" t="n">
        <f aca="false">G104+$H$7</f>
        <v>3</v>
      </c>
      <c r="I104" s="118" t="n">
        <f aca="false">'Inputs-Summary'!$B$16</f>
        <v>1.85</v>
      </c>
      <c r="J104" s="118" t="n">
        <f aca="false">VLOOKUP($A104,Table,MATCH(J$4,Curves,0))</f>
        <v>5</v>
      </c>
      <c r="K104" s="119" t="n">
        <f aca="false">J104+$K$7</f>
        <v>5</v>
      </c>
      <c r="L104" s="120" t="n">
        <f aca="false">K104</f>
        <v>5</v>
      </c>
      <c r="M104" s="118" t="n">
        <f aca="false">VLOOKUP($A104,Table,MATCH(M$4,Curves,0))</f>
        <v>5</v>
      </c>
      <c r="N104" s="119" t="n">
        <f aca="false">M104+$N$7</f>
        <v>5</v>
      </c>
      <c r="O104" s="120" t="n">
        <f aca="false">N104</f>
        <v>5</v>
      </c>
      <c r="P104" s="109"/>
      <c r="Q104" s="120" t="n">
        <f aca="false">IF($F$3=1,M104+J104+G104,J104+G104)</f>
        <v>8</v>
      </c>
      <c r="R104" s="120" t="n">
        <f aca="false">IF($F$3=1,N104+K104+H104,K104+H104)</f>
        <v>8</v>
      </c>
      <c r="S104" s="120" t="n">
        <f aca="false">IF($F$3=1,O104+L104+I104,L104+I104)</f>
        <v>6.85</v>
      </c>
      <c r="T104" s="121"/>
      <c r="U104" s="67" t="n">
        <f aca="false">A105-A104</f>
        <v>30</v>
      </c>
      <c r="V104" s="122" t="n">
        <f aca="false">CHOOSE(F$3,A105+24,A104)</f>
        <v>40118</v>
      </c>
      <c r="W104" s="67" t="n">
        <f aca="false">V104-C$3</f>
        <v>-5808</v>
      </c>
      <c r="X104" s="118" t="n">
        <f aca="false">VLOOKUP($A104,Table,MATCH(X$4,Curves,0))</f>
        <v>2</v>
      </c>
      <c r="Y104" s="123" t="n">
        <f aca="false">1/(1+CHOOSE(F$3,(X105+($K$3/10000))/2,(X104+($K$3/10000))/2))^(2*W104/365.25)</f>
        <v>3746444006.23803</v>
      </c>
      <c r="Z104" s="67" t="n">
        <f aca="false">IF(AND(mthbeg&lt;=A104,mthend&gt;=A104),1,0)</f>
        <v>0</v>
      </c>
      <c r="AA104" s="67" t="n">
        <f aca="false">U104*Z104</f>
        <v>0</v>
      </c>
      <c r="AC104" s="110" t="n">
        <f aca="false">F104*(H104-I104)</f>
        <v>0</v>
      </c>
      <c r="AD104" s="49"/>
      <c r="AE104" s="124"/>
    </row>
    <row r="105" customFormat="false" ht="12.75" hidden="false" customHeight="false" outlineLevel="0" collapsed="false">
      <c r="A105" s="115" t="n">
        <f aca="false">EDATE(A104,1)</f>
        <v>40148</v>
      </c>
      <c r="B105" s="116" t="n">
        <f aca="false">'Inputs-Summary'!$B$7</f>
        <v>3017157.21662952</v>
      </c>
      <c r="C105" s="57"/>
      <c r="D105" s="117" t="n">
        <f aca="false">B105+C105</f>
        <v>3017157.21662952</v>
      </c>
      <c r="E105" s="106" t="n">
        <f aca="false">IF(Z105=0,0,IF(AND(Z105=1,$H$3=1),D105*U105,IF($H$3=2,D105,"N/A")))</f>
        <v>0</v>
      </c>
      <c r="F105" s="106" t="n">
        <f aca="false">E105*Y105</f>
        <v>0</v>
      </c>
      <c r="G105" s="118" t="n">
        <f aca="false">VLOOKUP($A105,Table,MATCH(G$4,Curves,0))</f>
        <v>3</v>
      </c>
      <c r="H105" s="119" t="n">
        <f aca="false">G105+$H$7</f>
        <v>3</v>
      </c>
      <c r="I105" s="118" t="n">
        <f aca="false">'Inputs-Summary'!$B$16</f>
        <v>1.85</v>
      </c>
      <c r="J105" s="118" t="n">
        <f aca="false">VLOOKUP($A105,Table,MATCH(J$4,Curves,0))</f>
        <v>5</v>
      </c>
      <c r="K105" s="119" t="n">
        <f aca="false">J105+$K$7</f>
        <v>5</v>
      </c>
      <c r="L105" s="120" t="n">
        <f aca="false">K105</f>
        <v>5</v>
      </c>
      <c r="M105" s="118" t="n">
        <f aca="false">VLOOKUP($A105,Table,MATCH(M$4,Curves,0))</f>
        <v>5</v>
      </c>
      <c r="N105" s="119" t="n">
        <f aca="false">M105+$N$7</f>
        <v>5</v>
      </c>
      <c r="O105" s="120" t="n">
        <f aca="false">N105</f>
        <v>5</v>
      </c>
      <c r="P105" s="109"/>
      <c r="Q105" s="120" t="n">
        <f aca="false">IF($F$3=1,M105+J105+G105,J105+G105)</f>
        <v>8</v>
      </c>
      <c r="R105" s="120" t="n">
        <f aca="false">IF($F$3=1,N105+K105+H105,K105+H105)</f>
        <v>8</v>
      </c>
      <c r="S105" s="120" t="n">
        <f aca="false">IF($F$3=1,O105+L105+I105,L105+I105)</f>
        <v>6.85</v>
      </c>
      <c r="T105" s="121"/>
      <c r="U105" s="67" t="n">
        <f aca="false">A106-A105</f>
        <v>31</v>
      </c>
      <c r="V105" s="122" t="n">
        <f aca="false">CHOOSE(F$3,A106+24,A105)</f>
        <v>40148</v>
      </c>
      <c r="W105" s="67" t="n">
        <f aca="false">V105-C$3</f>
        <v>-5778</v>
      </c>
      <c r="X105" s="118" t="n">
        <f aca="false">VLOOKUP($A105,Table,MATCH(X$4,Curves,0))</f>
        <v>2</v>
      </c>
      <c r="Y105" s="123" t="n">
        <f aca="false">1/(1+CHOOSE(F$3,(X106+($K$3/10000))/2,(X105+($K$3/10000))/2))^(2*W105/365.25)</f>
        <v>3343249077.554</v>
      </c>
      <c r="Z105" s="67" t="n">
        <f aca="false">IF(AND(mthbeg&lt;=A105,mthend&gt;=A105),1,0)</f>
        <v>0</v>
      </c>
      <c r="AA105" s="67" t="n">
        <f aca="false">U105*Z105</f>
        <v>0</v>
      </c>
      <c r="AC105" s="110" t="n">
        <f aca="false">F105*(H105-I105)</f>
        <v>0</v>
      </c>
      <c r="AD105" s="49"/>
      <c r="AE105" s="124"/>
    </row>
    <row r="106" customFormat="false" ht="12.75" hidden="false" customHeight="false" outlineLevel="0" collapsed="false">
      <c r="A106" s="115" t="n">
        <f aca="false">EDATE(A105,1)</f>
        <v>40179</v>
      </c>
      <c r="B106" s="116" t="n">
        <f aca="false">'Inputs-Summary'!$B$7</f>
        <v>3017157.21662952</v>
      </c>
      <c r="C106" s="57"/>
      <c r="D106" s="117" t="n">
        <f aca="false">B106+C106</f>
        <v>3017157.21662952</v>
      </c>
      <c r="E106" s="106" t="n">
        <f aca="false">IF(Z106=0,0,IF(AND(Z106=1,$H$3=1),D106*U106,IF($H$3=2,D106,"N/A")))</f>
        <v>0</v>
      </c>
      <c r="F106" s="106" t="n">
        <f aca="false">E106*Y106</f>
        <v>0</v>
      </c>
      <c r="G106" s="118" t="n">
        <f aca="false">VLOOKUP($A106,Table,MATCH(G$4,Curves,0))</f>
        <v>3</v>
      </c>
      <c r="H106" s="119" t="n">
        <f aca="false">G106+$H$7</f>
        <v>3</v>
      </c>
      <c r="I106" s="118" t="n">
        <f aca="false">'Inputs-Summary'!$B$16</f>
        <v>1.85</v>
      </c>
      <c r="J106" s="118" t="n">
        <f aca="false">VLOOKUP($A106,Table,MATCH(J$4,Curves,0))</f>
        <v>5</v>
      </c>
      <c r="K106" s="119" t="n">
        <f aca="false">J106+$K$7</f>
        <v>5</v>
      </c>
      <c r="L106" s="120" t="n">
        <f aca="false">K106</f>
        <v>5</v>
      </c>
      <c r="M106" s="118" t="n">
        <f aca="false">VLOOKUP($A106,Table,MATCH(M$4,Curves,0))</f>
        <v>5</v>
      </c>
      <c r="N106" s="119" t="n">
        <f aca="false">M106+$N$7</f>
        <v>5</v>
      </c>
      <c r="O106" s="120" t="n">
        <f aca="false">N106</f>
        <v>5</v>
      </c>
      <c r="P106" s="109"/>
      <c r="Q106" s="120" t="n">
        <f aca="false">IF($F$3=1,M106+J106+G106,J106+G106)</f>
        <v>8</v>
      </c>
      <c r="R106" s="120" t="n">
        <f aca="false">IF($F$3=1,N106+K106+H106,K106+H106)</f>
        <v>8</v>
      </c>
      <c r="S106" s="120" t="n">
        <f aca="false">IF($F$3=1,O106+L106+I106,L106+I106)</f>
        <v>6.85</v>
      </c>
      <c r="T106" s="121"/>
      <c r="U106" s="67" t="n">
        <f aca="false">A107-A106</f>
        <v>31</v>
      </c>
      <c r="V106" s="122" t="n">
        <f aca="false">CHOOSE(F$3,A107+24,A106)</f>
        <v>40179</v>
      </c>
      <c r="W106" s="67" t="n">
        <f aca="false">V106-C$3</f>
        <v>-5747</v>
      </c>
      <c r="X106" s="118" t="n">
        <f aca="false">VLOOKUP($A106,Table,MATCH(X$4,Curves,0))</f>
        <v>2</v>
      </c>
      <c r="Y106" s="123" t="n">
        <f aca="false">1/(1+CHOOSE(F$3,(X107+($K$3/10000))/2,(X106+($K$3/10000))/2))^(2*W106/365.25)</f>
        <v>2972144159.34808</v>
      </c>
      <c r="Z106" s="67" t="n">
        <f aca="false">IF(AND(mthbeg&lt;=A106,mthend&gt;=A106),1,0)</f>
        <v>0</v>
      </c>
      <c r="AA106" s="67" t="n">
        <f aca="false">U106*Z106</f>
        <v>0</v>
      </c>
      <c r="AC106" s="110" t="n">
        <f aca="false">F106*(H106-I106)</f>
        <v>0</v>
      </c>
      <c r="AD106" s="49"/>
      <c r="AE106" s="124"/>
    </row>
    <row r="107" customFormat="false" ht="12.75" hidden="false" customHeight="false" outlineLevel="0" collapsed="false">
      <c r="A107" s="115" t="n">
        <f aca="false">EDATE(A106,1)</f>
        <v>40210</v>
      </c>
      <c r="B107" s="116" t="n">
        <f aca="false">'Inputs-Summary'!$B$7</f>
        <v>3017157.21662952</v>
      </c>
      <c r="C107" s="57"/>
      <c r="D107" s="117" t="n">
        <f aca="false">B107+C107</f>
        <v>3017157.21662952</v>
      </c>
      <c r="E107" s="106" t="n">
        <f aca="false">IF(Z107=0,0,IF(AND(Z107=1,$H$3=1),D107*U107,IF($H$3=2,D107,"N/A")))</f>
        <v>0</v>
      </c>
      <c r="F107" s="106" t="n">
        <f aca="false">E107*Y107</f>
        <v>0</v>
      </c>
      <c r="G107" s="118" t="n">
        <f aca="false">VLOOKUP($A107,Table,MATCH(G$4,Curves,0))</f>
        <v>3</v>
      </c>
      <c r="H107" s="119" t="n">
        <f aca="false">G107+$H$7</f>
        <v>3</v>
      </c>
      <c r="I107" s="118" t="n">
        <f aca="false">'Inputs-Summary'!$B$16</f>
        <v>1.85</v>
      </c>
      <c r="J107" s="118" t="n">
        <f aca="false">VLOOKUP($A107,Table,MATCH(J$4,Curves,0))</f>
        <v>5</v>
      </c>
      <c r="K107" s="119" t="n">
        <f aca="false">J107+$K$7</f>
        <v>5</v>
      </c>
      <c r="L107" s="120" t="n">
        <f aca="false">K107</f>
        <v>5</v>
      </c>
      <c r="M107" s="118" t="n">
        <f aca="false">VLOOKUP($A107,Table,MATCH(M$4,Curves,0))</f>
        <v>5</v>
      </c>
      <c r="N107" s="119" t="n">
        <f aca="false">M107+$N$7</f>
        <v>5</v>
      </c>
      <c r="O107" s="120" t="n">
        <f aca="false">N107</f>
        <v>5</v>
      </c>
      <c r="P107" s="109"/>
      <c r="Q107" s="120" t="n">
        <f aca="false">IF($F$3=1,M107+J107+G107,J107+G107)</f>
        <v>8</v>
      </c>
      <c r="R107" s="120" t="n">
        <f aca="false">IF($F$3=1,N107+K107+H107,K107+H107)</f>
        <v>8</v>
      </c>
      <c r="S107" s="120" t="n">
        <f aca="false">IF($F$3=1,O107+L107+I107,L107+I107)</f>
        <v>6.85</v>
      </c>
      <c r="T107" s="121"/>
      <c r="U107" s="67" t="n">
        <f aca="false">A108-A107</f>
        <v>28</v>
      </c>
      <c r="V107" s="122" t="n">
        <f aca="false">CHOOSE(F$3,A108+24,A107)</f>
        <v>40210</v>
      </c>
      <c r="W107" s="67" t="n">
        <f aca="false">V107-C$3</f>
        <v>-5716</v>
      </c>
      <c r="X107" s="118" t="n">
        <f aca="false">VLOOKUP($A107,Table,MATCH(X$4,Curves,0))</f>
        <v>2</v>
      </c>
      <c r="Y107" s="123" t="n">
        <f aca="false">1/(1+CHOOSE(F$3,(X108+($K$3/10000))/2,(X107+($K$3/10000))/2))^(2*W107/365.25)</f>
        <v>2642232361.10479</v>
      </c>
      <c r="Z107" s="67" t="n">
        <f aca="false">IF(AND(mthbeg&lt;=A107,mthend&gt;=A107),1,0)</f>
        <v>0</v>
      </c>
      <c r="AA107" s="67" t="n">
        <f aca="false">U107*Z107</f>
        <v>0</v>
      </c>
      <c r="AC107" s="110" t="n">
        <f aca="false">F107*(H107-I107)</f>
        <v>0</v>
      </c>
      <c r="AD107" s="49"/>
      <c r="AE107" s="124"/>
    </row>
    <row r="108" customFormat="false" ht="12.75" hidden="false" customHeight="false" outlineLevel="0" collapsed="false">
      <c r="A108" s="115" t="n">
        <f aca="false">EDATE(A107,1)</f>
        <v>40238</v>
      </c>
      <c r="B108" s="116" t="n">
        <f aca="false">'Inputs-Summary'!$B$7</f>
        <v>3017157.21662952</v>
      </c>
      <c r="C108" s="57"/>
      <c r="D108" s="117" t="n">
        <f aca="false">B108+C108</f>
        <v>3017157.21662952</v>
      </c>
      <c r="E108" s="106" t="n">
        <f aca="false">IF(Z108=0,0,IF(AND(Z108=1,$H$3=1),D108*U108,IF($H$3=2,D108,"N/A")))</f>
        <v>0</v>
      </c>
      <c r="F108" s="106" t="n">
        <f aca="false">E108*Y108</f>
        <v>0</v>
      </c>
      <c r="G108" s="118" t="n">
        <f aca="false">VLOOKUP($A108,Table,MATCH(G$4,Curves,0))</f>
        <v>3</v>
      </c>
      <c r="H108" s="119" t="n">
        <f aca="false">G108+$H$7</f>
        <v>3</v>
      </c>
      <c r="I108" s="118" t="n">
        <f aca="false">'Inputs-Summary'!$B$16</f>
        <v>1.85</v>
      </c>
      <c r="J108" s="118" t="n">
        <f aca="false">VLOOKUP($A108,Table,MATCH(J$4,Curves,0))</f>
        <v>5</v>
      </c>
      <c r="K108" s="119" t="n">
        <f aca="false">J108+$K$7</f>
        <v>5</v>
      </c>
      <c r="L108" s="120" t="n">
        <f aca="false">K108</f>
        <v>5</v>
      </c>
      <c r="M108" s="118" t="n">
        <f aca="false">VLOOKUP($A108,Table,MATCH(M$4,Curves,0))</f>
        <v>5</v>
      </c>
      <c r="N108" s="119" t="n">
        <f aca="false">M108+$N$7</f>
        <v>5</v>
      </c>
      <c r="O108" s="120" t="n">
        <f aca="false">N108</f>
        <v>5</v>
      </c>
      <c r="P108" s="109"/>
      <c r="Q108" s="120" t="n">
        <f aca="false">IF($F$3=1,M108+J108+G108,J108+G108)</f>
        <v>8</v>
      </c>
      <c r="R108" s="120" t="n">
        <f aca="false">IF($F$3=1,N108+K108+H108,K108+H108)</f>
        <v>8</v>
      </c>
      <c r="S108" s="120" t="n">
        <f aca="false">IF($F$3=1,O108+L108+I108,L108+I108)</f>
        <v>6.85</v>
      </c>
      <c r="T108" s="121"/>
      <c r="U108" s="67" t="n">
        <f aca="false">A109-A108</f>
        <v>31</v>
      </c>
      <c r="V108" s="122" t="n">
        <f aca="false">CHOOSE(F$3,A109+24,A108)</f>
        <v>40238</v>
      </c>
      <c r="W108" s="67" t="n">
        <f aca="false">V108-C$3</f>
        <v>-5688</v>
      </c>
      <c r="X108" s="118" t="n">
        <f aca="false">VLOOKUP($A108,Table,MATCH(X$4,Curves,0))</f>
        <v>2</v>
      </c>
      <c r="Y108" s="123" t="n">
        <f aca="false">1/(1+CHOOSE(F$3,(X109+($K$3/10000))/2,(X108+($K$3/10000))/2))^(2*W108/365.25)</f>
        <v>2375840030.86491</v>
      </c>
      <c r="Z108" s="67" t="n">
        <f aca="false">IF(AND(mthbeg&lt;=A108,mthend&gt;=A108),1,0)</f>
        <v>0</v>
      </c>
      <c r="AA108" s="67" t="n">
        <f aca="false">U108*Z108</f>
        <v>0</v>
      </c>
      <c r="AC108" s="110" t="n">
        <f aca="false">F108*(H108-I108)</f>
        <v>0</v>
      </c>
      <c r="AD108" s="49"/>
      <c r="AE108" s="124"/>
    </row>
    <row r="109" customFormat="false" ht="12.75" hidden="false" customHeight="false" outlineLevel="0" collapsed="false">
      <c r="A109" s="115" t="n">
        <f aca="false">EDATE(A108,1)</f>
        <v>40269</v>
      </c>
      <c r="B109" s="116" t="n">
        <f aca="false">'Inputs-Summary'!$B$7</f>
        <v>3017157.21662952</v>
      </c>
      <c r="C109" s="57"/>
      <c r="D109" s="117" t="n">
        <f aca="false">B109+C109</f>
        <v>3017157.21662952</v>
      </c>
      <c r="E109" s="106" t="n">
        <f aca="false">IF(Z109=0,0,IF(AND(Z109=1,$H$3=1),D109*U109,IF($H$3=2,D109,"N/A")))</f>
        <v>0</v>
      </c>
      <c r="F109" s="106" t="n">
        <f aca="false">E109*Y109</f>
        <v>0</v>
      </c>
      <c r="G109" s="118" t="n">
        <f aca="false">VLOOKUP($A109,Table,MATCH(G$4,Curves,0))</f>
        <v>3</v>
      </c>
      <c r="H109" s="119" t="n">
        <f aca="false">G109+$H$7</f>
        <v>3</v>
      </c>
      <c r="I109" s="118" t="n">
        <f aca="false">'Inputs-Summary'!$B$16</f>
        <v>1.85</v>
      </c>
      <c r="J109" s="118" t="n">
        <f aca="false">VLOOKUP($A109,Table,MATCH(J$4,Curves,0))</f>
        <v>5</v>
      </c>
      <c r="K109" s="119" t="n">
        <f aca="false">J109+$K$7</f>
        <v>5</v>
      </c>
      <c r="L109" s="120" t="n">
        <f aca="false">K109</f>
        <v>5</v>
      </c>
      <c r="M109" s="118" t="n">
        <f aca="false">VLOOKUP($A109,Table,MATCH(M$4,Curves,0))</f>
        <v>5</v>
      </c>
      <c r="N109" s="119" t="n">
        <f aca="false">M109+$N$7</f>
        <v>5</v>
      </c>
      <c r="O109" s="120" t="n">
        <f aca="false">N109</f>
        <v>5</v>
      </c>
      <c r="P109" s="109"/>
      <c r="Q109" s="120" t="n">
        <f aca="false">IF($F$3=1,M109+J109+G109,J109+G109)</f>
        <v>8</v>
      </c>
      <c r="R109" s="120" t="n">
        <f aca="false">IF($F$3=1,N109+K109+H109,K109+H109)</f>
        <v>8</v>
      </c>
      <c r="S109" s="120" t="n">
        <f aca="false">IF($F$3=1,O109+L109+I109,L109+I109)</f>
        <v>6.85</v>
      </c>
      <c r="T109" s="121"/>
      <c r="U109" s="67" t="n">
        <f aca="false">A110-A109</f>
        <v>30</v>
      </c>
      <c r="V109" s="122" t="n">
        <f aca="false">CHOOSE(F$3,A110+24,A109)</f>
        <v>40269</v>
      </c>
      <c r="W109" s="67" t="n">
        <f aca="false">V109-C$3</f>
        <v>-5657</v>
      </c>
      <c r="X109" s="118" t="n">
        <f aca="false">VLOOKUP($A109,Table,MATCH(X$4,Curves,0))</f>
        <v>2</v>
      </c>
      <c r="Y109" s="123" t="n">
        <f aca="false">1/(1+CHOOSE(F$3,(X110+($K$3/10000))/2,(X109+($K$3/10000))/2))^(2*W109/365.25)</f>
        <v>2112118752.58985</v>
      </c>
      <c r="Z109" s="67" t="n">
        <f aca="false">IF(AND(mthbeg&lt;=A109,mthend&gt;=A109),1,0)</f>
        <v>0</v>
      </c>
      <c r="AA109" s="67" t="n">
        <f aca="false">U109*Z109</f>
        <v>0</v>
      </c>
      <c r="AC109" s="110" t="n">
        <f aca="false">F109*(H109-I109)</f>
        <v>0</v>
      </c>
      <c r="AD109" s="49"/>
      <c r="AE109" s="124"/>
    </row>
    <row r="110" customFormat="false" ht="12.75" hidden="false" customHeight="false" outlineLevel="0" collapsed="false">
      <c r="A110" s="115" t="n">
        <f aca="false">EDATE(A109,1)</f>
        <v>40299</v>
      </c>
      <c r="B110" s="116" t="n">
        <f aca="false">'Inputs-Summary'!$B$7</f>
        <v>3017157.21662952</v>
      </c>
      <c r="C110" s="57"/>
      <c r="D110" s="117" t="n">
        <f aca="false">B110+C110</f>
        <v>3017157.21662952</v>
      </c>
      <c r="E110" s="106" t="n">
        <f aca="false">IF(Z110=0,0,IF(AND(Z110=1,$H$3=1),D110*U110,IF($H$3=2,D110,"N/A")))</f>
        <v>0</v>
      </c>
      <c r="F110" s="106" t="n">
        <f aca="false">E110*Y110</f>
        <v>0</v>
      </c>
      <c r="G110" s="118" t="n">
        <f aca="false">VLOOKUP($A110,Table,MATCH(G$4,Curves,0))</f>
        <v>3</v>
      </c>
      <c r="H110" s="119" t="n">
        <f aca="false">G110+$H$7</f>
        <v>3</v>
      </c>
      <c r="I110" s="118" t="n">
        <f aca="false">'Inputs-Summary'!$B$16</f>
        <v>1.85</v>
      </c>
      <c r="J110" s="118" t="n">
        <f aca="false">VLOOKUP($A110,Table,MATCH(J$4,Curves,0))</f>
        <v>5</v>
      </c>
      <c r="K110" s="119" t="n">
        <f aca="false">J110+$K$7</f>
        <v>5</v>
      </c>
      <c r="L110" s="120" t="n">
        <f aca="false">K110</f>
        <v>5</v>
      </c>
      <c r="M110" s="118" t="n">
        <f aca="false">VLOOKUP($A110,Table,MATCH(M$4,Curves,0))</f>
        <v>5</v>
      </c>
      <c r="N110" s="119" t="n">
        <f aca="false">M110+$N$7</f>
        <v>5</v>
      </c>
      <c r="O110" s="120" t="n">
        <f aca="false">N110</f>
        <v>5</v>
      </c>
      <c r="P110" s="109"/>
      <c r="Q110" s="120" t="n">
        <f aca="false">IF($F$3=1,M110+J110+G110,J110+G110)</f>
        <v>8</v>
      </c>
      <c r="R110" s="120" t="n">
        <f aca="false">IF($F$3=1,N110+K110+H110,K110+H110)</f>
        <v>8</v>
      </c>
      <c r="S110" s="120" t="n">
        <f aca="false">IF($F$3=1,O110+L110+I110,L110+I110)</f>
        <v>6.85</v>
      </c>
      <c r="T110" s="121"/>
      <c r="U110" s="67" t="n">
        <f aca="false">A111-A110</f>
        <v>31</v>
      </c>
      <c r="V110" s="122" t="n">
        <f aca="false">CHOOSE(F$3,A111+24,A110)</f>
        <v>40299</v>
      </c>
      <c r="W110" s="67" t="n">
        <f aca="false">V110-C$3</f>
        <v>-5627</v>
      </c>
      <c r="X110" s="118" t="n">
        <f aca="false">VLOOKUP($A110,Table,MATCH(X$4,Curves,0))</f>
        <v>2</v>
      </c>
      <c r="Y110" s="123" t="n">
        <f aca="false">1/(1+CHOOSE(F$3,(X111+($K$3/10000))/2,(X110+($K$3/10000))/2))^(2*W110/365.25)</f>
        <v>1884811052.70037</v>
      </c>
      <c r="Z110" s="67" t="n">
        <f aca="false">IF(AND(mthbeg&lt;=A110,mthend&gt;=A110),1,0)</f>
        <v>0</v>
      </c>
      <c r="AA110" s="67" t="n">
        <f aca="false">U110*Z110</f>
        <v>0</v>
      </c>
      <c r="AC110" s="110" t="n">
        <f aca="false">F110*(H110-I110)</f>
        <v>0</v>
      </c>
      <c r="AD110" s="49"/>
      <c r="AE110" s="124"/>
    </row>
    <row r="111" customFormat="false" ht="12.75" hidden="false" customHeight="false" outlineLevel="0" collapsed="false">
      <c r="A111" s="115" t="n">
        <f aca="false">EDATE(A110,1)</f>
        <v>40330</v>
      </c>
      <c r="B111" s="116" t="n">
        <f aca="false">'Inputs-Summary'!$B$7</f>
        <v>3017157.21662952</v>
      </c>
      <c r="C111" s="57"/>
      <c r="D111" s="117" t="n">
        <f aca="false">B111+C111</f>
        <v>3017157.21662952</v>
      </c>
      <c r="E111" s="106" t="n">
        <f aca="false">IF(Z111=0,0,IF(AND(Z111=1,$H$3=1),D111*U111,IF($H$3=2,D111,"N/A")))</f>
        <v>0</v>
      </c>
      <c r="F111" s="106" t="n">
        <f aca="false">E111*Y111</f>
        <v>0</v>
      </c>
      <c r="G111" s="118" t="n">
        <f aca="false">VLOOKUP($A111,Table,MATCH(G$4,Curves,0))</f>
        <v>3</v>
      </c>
      <c r="H111" s="119" t="n">
        <f aca="false">G111+$H$7</f>
        <v>3</v>
      </c>
      <c r="I111" s="118" t="n">
        <f aca="false">'Inputs-Summary'!$B$16</f>
        <v>1.85</v>
      </c>
      <c r="J111" s="118" t="n">
        <f aca="false">VLOOKUP($A111,Table,MATCH(J$4,Curves,0))</f>
        <v>5</v>
      </c>
      <c r="K111" s="119" t="n">
        <f aca="false">J111+$K$7</f>
        <v>5</v>
      </c>
      <c r="L111" s="120" t="n">
        <f aca="false">K111</f>
        <v>5</v>
      </c>
      <c r="M111" s="118" t="n">
        <f aca="false">VLOOKUP($A111,Table,MATCH(M$4,Curves,0))</f>
        <v>5</v>
      </c>
      <c r="N111" s="119" t="n">
        <f aca="false">M111+$N$7</f>
        <v>5</v>
      </c>
      <c r="O111" s="120" t="n">
        <f aca="false">N111</f>
        <v>5</v>
      </c>
      <c r="P111" s="109"/>
      <c r="Q111" s="120" t="n">
        <f aca="false">IF($F$3=1,M111+J111+G111,J111+G111)</f>
        <v>8</v>
      </c>
      <c r="R111" s="120" t="n">
        <f aca="false">IF($F$3=1,N111+K111+H111,K111+H111)</f>
        <v>8</v>
      </c>
      <c r="S111" s="120" t="n">
        <f aca="false">IF($F$3=1,O111+L111+I111,L111+I111)</f>
        <v>6.85</v>
      </c>
      <c r="T111" s="121"/>
      <c r="U111" s="67" t="n">
        <f aca="false">A112-A111</f>
        <v>30</v>
      </c>
      <c r="V111" s="122" t="n">
        <f aca="false">CHOOSE(F$3,A112+24,A111)</f>
        <v>40330</v>
      </c>
      <c r="W111" s="67" t="n">
        <f aca="false">V111-C$3</f>
        <v>-5596</v>
      </c>
      <c r="X111" s="118" t="n">
        <f aca="false">VLOOKUP($A111,Table,MATCH(X$4,Curves,0))</f>
        <v>2</v>
      </c>
      <c r="Y111" s="123" t="n">
        <f aca="false">1/(1+CHOOSE(F$3,(X112+($K$3/10000))/2,(X111+($K$3/10000))/2))^(2*W111/365.25)</f>
        <v>1675594618.23186</v>
      </c>
      <c r="Z111" s="67" t="n">
        <f aca="false">IF(AND(mthbeg&lt;=A111,mthend&gt;=A111),1,0)</f>
        <v>0</v>
      </c>
      <c r="AA111" s="67" t="n">
        <f aca="false">U111*Z111</f>
        <v>0</v>
      </c>
      <c r="AC111" s="110" t="n">
        <f aca="false">F111*(H111-I111)</f>
        <v>0</v>
      </c>
      <c r="AD111" s="49"/>
      <c r="AE111" s="124"/>
    </row>
    <row r="112" customFormat="false" ht="12.75" hidden="false" customHeight="false" outlineLevel="0" collapsed="false">
      <c r="A112" s="115" t="n">
        <f aca="false">EDATE(A111,1)</f>
        <v>40360</v>
      </c>
      <c r="B112" s="116" t="n">
        <f aca="false">'Inputs-Summary'!$B$7</f>
        <v>3017157.21662952</v>
      </c>
      <c r="C112" s="57"/>
      <c r="D112" s="117" t="n">
        <f aca="false">B112+C112</f>
        <v>3017157.21662952</v>
      </c>
      <c r="E112" s="106" t="n">
        <f aca="false">IF(Z112=0,0,IF(AND(Z112=1,$H$3=1),D112*U112,IF($H$3=2,D112,"N/A")))</f>
        <v>0</v>
      </c>
      <c r="F112" s="106" t="n">
        <f aca="false">E112*Y112</f>
        <v>0</v>
      </c>
      <c r="G112" s="118" t="n">
        <f aca="false">VLOOKUP($A112,Table,MATCH(G$4,Curves,0))</f>
        <v>3</v>
      </c>
      <c r="H112" s="119" t="n">
        <f aca="false">G112+$H$7</f>
        <v>3</v>
      </c>
      <c r="I112" s="118" t="n">
        <f aca="false">'Inputs-Summary'!$B$16</f>
        <v>1.85</v>
      </c>
      <c r="J112" s="118" t="n">
        <f aca="false">VLOOKUP($A112,Table,MATCH(J$4,Curves,0))</f>
        <v>5</v>
      </c>
      <c r="K112" s="119" t="n">
        <f aca="false">J112+$K$7</f>
        <v>5</v>
      </c>
      <c r="L112" s="120" t="n">
        <f aca="false">K112</f>
        <v>5</v>
      </c>
      <c r="M112" s="118" t="n">
        <f aca="false">VLOOKUP($A112,Table,MATCH(M$4,Curves,0))</f>
        <v>5</v>
      </c>
      <c r="N112" s="119" t="n">
        <f aca="false">M112+$N$7</f>
        <v>5</v>
      </c>
      <c r="O112" s="120" t="n">
        <f aca="false">N112</f>
        <v>5</v>
      </c>
      <c r="P112" s="109"/>
      <c r="Q112" s="120" t="n">
        <f aca="false">IF($F$3=1,M112+J112+G112,J112+G112)</f>
        <v>8</v>
      </c>
      <c r="R112" s="120" t="n">
        <f aca="false">IF($F$3=1,N112+K112+H112,K112+H112)</f>
        <v>8</v>
      </c>
      <c r="S112" s="120" t="n">
        <f aca="false">IF($F$3=1,O112+L112+I112,L112+I112)</f>
        <v>6.85</v>
      </c>
      <c r="T112" s="121"/>
      <c r="U112" s="67" t="n">
        <f aca="false">A113-A112</f>
        <v>31</v>
      </c>
      <c r="V112" s="122" t="n">
        <f aca="false">CHOOSE(F$3,A113+24,A112)</f>
        <v>40360</v>
      </c>
      <c r="W112" s="67" t="n">
        <f aca="false">V112-C$3</f>
        <v>-5566</v>
      </c>
      <c r="X112" s="118" t="n">
        <f aca="false">VLOOKUP($A112,Table,MATCH(X$4,Curves,0))</f>
        <v>2</v>
      </c>
      <c r="Y112" s="123" t="n">
        <f aca="false">1/(1+CHOOSE(F$3,(X113+($K$3/10000))/2,(X112+($K$3/10000))/2))^(2*W112/365.25)</f>
        <v>1495265951.50778</v>
      </c>
      <c r="Z112" s="67" t="n">
        <f aca="false">IF(AND(mthbeg&lt;=A112,mthend&gt;=A112),1,0)</f>
        <v>0</v>
      </c>
      <c r="AA112" s="67" t="n">
        <f aca="false">U112*Z112</f>
        <v>0</v>
      </c>
      <c r="AC112" s="110" t="n">
        <f aca="false">F112*(H112-I112)</f>
        <v>0</v>
      </c>
      <c r="AD112" s="49"/>
      <c r="AE112" s="124"/>
    </row>
    <row r="113" customFormat="false" ht="12.75" hidden="false" customHeight="false" outlineLevel="0" collapsed="false">
      <c r="A113" s="115" t="n">
        <f aca="false">EDATE(A112,1)</f>
        <v>40391</v>
      </c>
      <c r="B113" s="116" t="n">
        <f aca="false">'Inputs-Summary'!$B$7</f>
        <v>3017157.21662952</v>
      </c>
      <c r="C113" s="57"/>
      <c r="D113" s="117" t="n">
        <f aca="false">B113+C113</f>
        <v>3017157.21662952</v>
      </c>
      <c r="E113" s="106" t="n">
        <f aca="false">IF(Z113=0,0,IF(AND(Z113=1,$H$3=1),D113*U113,IF($H$3=2,D113,"N/A")))</f>
        <v>0</v>
      </c>
      <c r="F113" s="106" t="n">
        <f aca="false">E113*Y113</f>
        <v>0</v>
      </c>
      <c r="G113" s="118" t="n">
        <f aca="false">VLOOKUP($A113,Table,MATCH(G$4,Curves,0))</f>
        <v>3</v>
      </c>
      <c r="H113" s="119" t="n">
        <f aca="false">G113+$H$7</f>
        <v>3</v>
      </c>
      <c r="I113" s="118" t="n">
        <f aca="false">'Inputs-Summary'!$B$16</f>
        <v>1.85</v>
      </c>
      <c r="J113" s="118" t="n">
        <f aca="false">VLOOKUP($A113,Table,MATCH(J$4,Curves,0))</f>
        <v>5</v>
      </c>
      <c r="K113" s="119" t="n">
        <f aca="false">J113+$K$7</f>
        <v>5</v>
      </c>
      <c r="L113" s="120" t="n">
        <f aca="false">K113</f>
        <v>5</v>
      </c>
      <c r="M113" s="118" t="n">
        <f aca="false">VLOOKUP($A113,Table,MATCH(M$4,Curves,0))</f>
        <v>5</v>
      </c>
      <c r="N113" s="119" t="n">
        <f aca="false">M113+$N$7</f>
        <v>5</v>
      </c>
      <c r="O113" s="120" t="n">
        <f aca="false">N113</f>
        <v>5</v>
      </c>
      <c r="P113" s="109"/>
      <c r="Q113" s="120" t="n">
        <f aca="false">IF($F$3=1,M113+J113+G113,J113+G113)</f>
        <v>8</v>
      </c>
      <c r="R113" s="120" t="n">
        <f aca="false">IF($F$3=1,N113+K113+H113,K113+H113)</f>
        <v>8</v>
      </c>
      <c r="S113" s="120" t="n">
        <f aca="false">IF($F$3=1,O113+L113+I113,L113+I113)</f>
        <v>6.85</v>
      </c>
      <c r="T113" s="121"/>
      <c r="U113" s="67" t="n">
        <f aca="false">A114-A113</f>
        <v>31</v>
      </c>
      <c r="V113" s="122" t="n">
        <f aca="false">CHOOSE(F$3,A114+24,A113)</f>
        <v>40391</v>
      </c>
      <c r="W113" s="67" t="n">
        <f aca="false">V113-C$3</f>
        <v>-5535</v>
      </c>
      <c r="X113" s="118" t="n">
        <f aca="false">VLOOKUP($A113,Table,MATCH(X$4,Curves,0))</f>
        <v>2</v>
      </c>
      <c r="Y113" s="123" t="n">
        <f aca="false">1/(1+CHOOSE(F$3,(X114+($K$3/10000))/2,(X113+($K$3/10000))/2))^(2*W113/365.25)</f>
        <v>1329289520.86853</v>
      </c>
      <c r="Z113" s="67" t="n">
        <f aca="false">IF(AND(mthbeg&lt;=A113,mthend&gt;=A113),1,0)</f>
        <v>0</v>
      </c>
      <c r="AA113" s="67" t="n">
        <f aca="false">U113*Z113</f>
        <v>0</v>
      </c>
      <c r="AC113" s="110" t="n">
        <f aca="false">F113*(H113-I113)</f>
        <v>0</v>
      </c>
      <c r="AD113" s="49"/>
      <c r="AE113" s="124"/>
    </row>
    <row r="114" customFormat="false" ht="12.75" hidden="false" customHeight="false" outlineLevel="0" collapsed="false">
      <c r="A114" s="115" t="n">
        <f aca="false">EDATE(A113,1)</f>
        <v>40422</v>
      </c>
      <c r="B114" s="116" t="n">
        <f aca="false">'Inputs-Summary'!$B$7</f>
        <v>3017157.21662952</v>
      </c>
      <c r="C114" s="57"/>
      <c r="D114" s="117" t="n">
        <f aca="false">B114+C114</f>
        <v>3017157.21662952</v>
      </c>
      <c r="E114" s="106" t="n">
        <f aca="false">IF(Z114=0,0,IF(AND(Z114=1,$H$3=1),D114*U114,IF($H$3=2,D114,"N/A")))</f>
        <v>0</v>
      </c>
      <c r="F114" s="106" t="n">
        <f aca="false">E114*Y114</f>
        <v>0</v>
      </c>
      <c r="G114" s="118" t="n">
        <f aca="false">VLOOKUP($A114,Table,MATCH(G$4,Curves,0))</f>
        <v>3</v>
      </c>
      <c r="H114" s="119" t="n">
        <f aca="false">G114+$H$7</f>
        <v>3</v>
      </c>
      <c r="I114" s="118" t="n">
        <f aca="false">'Inputs-Summary'!$B$16</f>
        <v>1.85</v>
      </c>
      <c r="J114" s="118" t="n">
        <f aca="false">VLOOKUP($A114,Table,MATCH(J$4,Curves,0))</f>
        <v>5</v>
      </c>
      <c r="K114" s="119" t="n">
        <f aca="false">J114+$K$7</f>
        <v>5</v>
      </c>
      <c r="L114" s="120" t="n">
        <f aca="false">K114</f>
        <v>5</v>
      </c>
      <c r="M114" s="118" t="n">
        <f aca="false">VLOOKUP($A114,Table,MATCH(M$4,Curves,0))</f>
        <v>5</v>
      </c>
      <c r="N114" s="119" t="n">
        <f aca="false">M114+$N$7</f>
        <v>5</v>
      </c>
      <c r="O114" s="120" t="n">
        <f aca="false">N114</f>
        <v>5</v>
      </c>
      <c r="P114" s="109"/>
      <c r="Q114" s="120" t="n">
        <f aca="false">IF($F$3=1,M114+J114+G114,J114+G114)</f>
        <v>8</v>
      </c>
      <c r="R114" s="120" t="n">
        <f aca="false">IF($F$3=1,N114+K114+H114,K114+H114)</f>
        <v>8</v>
      </c>
      <c r="S114" s="120" t="n">
        <f aca="false">IF($F$3=1,O114+L114+I114,L114+I114)</f>
        <v>6.85</v>
      </c>
      <c r="T114" s="121"/>
      <c r="U114" s="67" t="n">
        <f aca="false">A115-A114</f>
        <v>30</v>
      </c>
      <c r="V114" s="122" t="n">
        <f aca="false">CHOOSE(F$3,A115+24,A114)</f>
        <v>40422</v>
      </c>
      <c r="W114" s="67" t="n">
        <f aca="false">V114-C$3</f>
        <v>-5504</v>
      </c>
      <c r="X114" s="118" t="n">
        <f aca="false">VLOOKUP($A114,Table,MATCH(X$4,Curves,0))</f>
        <v>2</v>
      </c>
      <c r="Y114" s="123" t="n">
        <f aca="false">1/(1+CHOOSE(F$3,(X115+($K$3/10000))/2,(X114+($K$3/10000))/2))^(2*W114/365.25)</f>
        <v>1181736686.0451</v>
      </c>
      <c r="Z114" s="67" t="n">
        <f aca="false">IF(AND(mthbeg&lt;=A114,mthend&gt;=A114),1,0)</f>
        <v>0</v>
      </c>
      <c r="AA114" s="67" t="n">
        <f aca="false">U114*Z114</f>
        <v>0</v>
      </c>
      <c r="AC114" s="110" t="n">
        <f aca="false">F114*(H114-I114)</f>
        <v>0</v>
      </c>
      <c r="AD114" s="49"/>
      <c r="AE114" s="124"/>
    </row>
    <row r="115" customFormat="false" ht="12.75" hidden="false" customHeight="false" outlineLevel="0" collapsed="false">
      <c r="A115" s="115" t="n">
        <f aca="false">EDATE(A114,1)</f>
        <v>40452</v>
      </c>
      <c r="B115" s="116" t="n">
        <f aca="false">'Inputs-Summary'!$B$7</f>
        <v>3017157.21662952</v>
      </c>
      <c r="C115" s="57"/>
      <c r="D115" s="117" t="n">
        <f aca="false">B115+C115</f>
        <v>3017157.21662952</v>
      </c>
      <c r="E115" s="106" t="n">
        <f aca="false">IF(Z115=0,0,IF(AND(Z115=1,$H$3=1),D115*U115,IF($H$3=2,D115,"N/A")))</f>
        <v>0</v>
      </c>
      <c r="F115" s="106" t="n">
        <f aca="false">E115*Y115</f>
        <v>0</v>
      </c>
      <c r="G115" s="118" t="n">
        <f aca="false">VLOOKUP($A115,Table,MATCH(G$4,Curves,0))</f>
        <v>3</v>
      </c>
      <c r="H115" s="119" t="n">
        <f aca="false">G115+$H$7</f>
        <v>3</v>
      </c>
      <c r="I115" s="118" t="n">
        <f aca="false">'Inputs-Summary'!$B$16</f>
        <v>1.85</v>
      </c>
      <c r="J115" s="118" t="n">
        <f aca="false">VLOOKUP($A115,Table,MATCH(J$4,Curves,0))</f>
        <v>5</v>
      </c>
      <c r="K115" s="119" t="n">
        <f aca="false">J115+$K$7</f>
        <v>5</v>
      </c>
      <c r="L115" s="120" t="n">
        <f aca="false">K115</f>
        <v>5</v>
      </c>
      <c r="M115" s="118" t="n">
        <f aca="false">VLOOKUP($A115,Table,MATCH(M$4,Curves,0))</f>
        <v>5</v>
      </c>
      <c r="N115" s="119" t="n">
        <f aca="false">M115+$N$7</f>
        <v>5</v>
      </c>
      <c r="O115" s="120" t="n">
        <f aca="false">N115</f>
        <v>5</v>
      </c>
      <c r="P115" s="109"/>
      <c r="Q115" s="120" t="n">
        <f aca="false">IF($F$3=1,M115+J115+G115,J115+G115)</f>
        <v>8</v>
      </c>
      <c r="R115" s="120" t="n">
        <f aca="false">IF($F$3=1,N115+K115+H115,K115+H115)</f>
        <v>8</v>
      </c>
      <c r="S115" s="120" t="n">
        <f aca="false">IF($F$3=1,O115+L115+I115,L115+I115)</f>
        <v>6.85</v>
      </c>
      <c r="T115" s="121"/>
      <c r="U115" s="67" t="n">
        <f aca="false">A116-A115</f>
        <v>31</v>
      </c>
      <c r="V115" s="122" t="n">
        <f aca="false">CHOOSE(F$3,A116+24,A115)</f>
        <v>40452</v>
      </c>
      <c r="W115" s="67" t="n">
        <f aca="false">V115-C$3</f>
        <v>-5474</v>
      </c>
      <c r="X115" s="118" t="n">
        <f aca="false">VLOOKUP($A115,Table,MATCH(X$4,Curves,0))</f>
        <v>2</v>
      </c>
      <c r="Y115" s="123" t="n">
        <f aca="false">1/(1+CHOOSE(F$3,(X116+($K$3/10000))/2,(X115+($K$3/10000))/2))^(2*W115/365.25)</f>
        <v>1054557355.9764</v>
      </c>
      <c r="Z115" s="67" t="n">
        <f aca="false">IF(AND(mthbeg&lt;=A115,mthend&gt;=A115),1,0)</f>
        <v>0</v>
      </c>
      <c r="AA115" s="67" t="n">
        <f aca="false">U115*Z115</f>
        <v>0</v>
      </c>
      <c r="AC115" s="110" t="n">
        <f aca="false">F115*(H115-I115)</f>
        <v>0</v>
      </c>
      <c r="AD115" s="49"/>
      <c r="AE115" s="124"/>
    </row>
    <row r="116" customFormat="false" ht="12.75" hidden="false" customHeight="false" outlineLevel="0" collapsed="false">
      <c r="A116" s="115" t="n">
        <f aca="false">EDATE(A115,1)</f>
        <v>40483</v>
      </c>
      <c r="B116" s="116" t="n">
        <f aca="false">'Inputs-Summary'!$B$7</f>
        <v>3017157.21662952</v>
      </c>
      <c r="C116" s="57"/>
      <c r="D116" s="117" t="n">
        <f aca="false">B116+C116</f>
        <v>3017157.21662952</v>
      </c>
      <c r="E116" s="106" t="n">
        <f aca="false">IF(Z116=0,0,IF(AND(Z116=1,$H$3=1),D116*U116,IF($H$3=2,D116,"N/A")))</f>
        <v>0</v>
      </c>
      <c r="F116" s="106" t="n">
        <f aca="false">E116*Y116</f>
        <v>0</v>
      </c>
      <c r="G116" s="118" t="n">
        <f aca="false">VLOOKUP($A116,Table,MATCH(G$4,Curves,0))</f>
        <v>3</v>
      </c>
      <c r="H116" s="119" t="n">
        <f aca="false">G116+$H$7</f>
        <v>3</v>
      </c>
      <c r="I116" s="118" t="n">
        <f aca="false">'Inputs-Summary'!$B$16</f>
        <v>1.85</v>
      </c>
      <c r="J116" s="118" t="n">
        <f aca="false">VLOOKUP($A116,Table,MATCH(J$4,Curves,0))</f>
        <v>5</v>
      </c>
      <c r="K116" s="119" t="n">
        <f aca="false">J116+$K$7</f>
        <v>5</v>
      </c>
      <c r="L116" s="120" t="n">
        <f aca="false">K116</f>
        <v>5</v>
      </c>
      <c r="M116" s="118" t="n">
        <f aca="false">VLOOKUP($A116,Table,MATCH(M$4,Curves,0))</f>
        <v>5</v>
      </c>
      <c r="N116" s="119" t="n">
        <f aca="false">M116+$N$7</f>
        <v>5</v>
      </c>
      <c r="O116" s="120" t="n">
        <f aca="false">N116</f>
        <v>5</v>
      </c>
      <c r="P116" s="109"/>
      <c r="Q116" s="120" t="n">
        <f aca="false">IF($F$3=1,M116+J116+G116,J116+G116)</f>
        <v>8</v>
      </c>
      <c r="R116" s="120" t="n">
        <f aca="false">IF($F$3=1,N116+K116+H116,K116+H116)</f>
        <v>8</v>
      </c>
      <c r="S116" s="120" t="n">
        <f aca="false">IF($F$3=1,O116+L116+I116,L116+I116)</f>
        <v>6.85</v>
      </c>
      <c r="T116" s="121"/>
      <c r="U116" s="67" t="n">
        <f aca="false">A117-A116</f>
        <v>30</v>
      </c>
      <c r="V116" s="122" t="n">
        <f aca="false">CHOOSE(F$3,A117+24,A116)</f>
        <v>40483</v>
      </c>
      <c r="W116" s="67" t="n">
        <f aca="false">V116-C$3</f>
        <v>-5443</v>
      </c>
      <c r="X116" s="118" t="n">
        <f aca="false">VLOOKUP($A116,Table,MATCH(X$4,Curves,0))</f>
        <v>2</v>
      </c>
      <c r="Y116" s="123" t="n">
        <f aca="false">1/(1+CHOOSE(F$3,(X117+($K$3/10000))/2,(X116+($K$3/10000))/2))^(2*W116/365.25)</f>
        <v>937500142.393198</v>
      </c>
      <c r="Z116" s="67" t="n">
        <f aca="false">IF(AND(mthbeg&lt;=A116,mthend&gt;=A116),1,0)</f>
        <v>0</v>
      </c>
      <c r="AA116" s="67" t="n">
        <f aca="false">U116*Z116</f>
        <v>0</v>
      </c>
      <c r="AC116" s="110" t="n">
        <f aca="false">F116*(H116-I116)</f>
        <v>0</v>
      </c>
      <c r="AD116" s="49"/>
      <c r="AE116" s="124"/>
    </row>
    <row r="117" customFormat="false" ht="12.75" hidden="false" customHeight="false" outlineLevel="0" collapsed="false">
      <c r="A117" s="115" t="n">
        <f aca="false">EDATE(A116,1)</f>
        <v>40513</v>
      </c>
      <c r="B117" s="116" t="n">
        <f aca="false">'Inputs-Summary'!$B$7</f>
        <v>3017157.21662952</v>
      </c>
      <c r="C117" s="57"/>
      <c r="D117" s="117" t="n">
        <f aca="false">B117+C117</f>
        <v>3017157.21662952</v>
      </c>
      <c r="E117" s="106" t="n">
        <f aca="false">IF(Z117=0,0,IF(AND(Z117=1,$H$3=1),D117*U117,IF($H$3=2,D117,"N/A")))</f>
        <v>0</v>
      </c>
      <c r="F117" s="106" t="n">
        <f aca="false">E117*Y117</f>
        <v>0</v>
      </c>
      <c r="G117" s="118" t="n">
        <f aca="false">VLOOKUP($A117,Table,MATCH(G$4,Curves,0))</f>
        <v>3</v>
      </c>
      <c r="H117" s="119" t="n">
        <f aca="false">G117+$H$7</f>
        <v>3</v>
      </c>
      <c r="I117" s="118" t="n">
        <f aca="false">'Inputs-Summary'!$B$16</f>
        <v>1.85</v>
      </c>
      <c r="J117" s="118" t="n">
        <f aca="false">VLOOKUP($A117,Table,MATCH(J$4,Curves,0))</f>
        <v>5</v>
      </c>
      <c r="K117" s="119" t="n">
        <f aca="false">J117+$K$7</f>
        <v>5</v>
      </c>
      <c r="L117" s="120" t="n">
        <f aca="false">K117</f>
        <v>5</v>
      </c>
      <c r="M117" s="118" t="n">
        <f aca="false">VLOOKUP($A117,Table,MATCH(M$4,Curves,0))</f>
        <v>5</v>
      </c>
      <c r="N117" s="119" t="n">
        <f aca="false">M117+$N$7</f>
        <v>5</v>
      </c>
      <c r="O117" s="120" t="n">
        <f aca="false">N117</f>
        <v>5</v>
      </c>
      <c r="P117" s="109"/>
      <c r="Q117" s="120" t="n">
        <f aca="false">IF($F$3=1,M117+J117+G117,J117+G117)</f>
        <v>8</v>
      </c>
      <c r="R117" s="120" t="n">
        <f aca="false">IF($F$3=1,N117+K117+H117,K117+H117)</f>
        <v>8</v>
      </c>
      <c r="S117" s="120" t="n">
        <f aca="false">IF($F$3=1,O117+L117+I117,L117+I117)</f>
        <v>6.85</v>
      </c>
      <c r="T117" s="121"/>
      <c r="U117" s="67" t="n">
        <f aca="false">A118-A117</f>
        <v>31</v>
      </c>
      <c r="V117" s="122" t="n">
        <f aca="false">CHOOSE(F$3,A118+24,A117)</f>
        <v>40513</v>
      </c>
      <c r="W117" s="67" t="n">
        <f aca="false">V117-C$3</f>
        <v>-5413</v>
      </c>
      <c r="X117" s="118" t="n">
        <f aca="false">VLOOKUP($A117,Table,MATCH(X$4,Curves,0))</f>
        <v>2</v>
      </c>
      <c r="Y117" s="123" t="n">
        <f aca="false">1/(1+CHOOSE(F$3,(X118+($K$3/10000))/2,(X117+($K$3/10000))/2))^(2*W117/365.25)</f>
        <v>836605720.262742</v>
      </c>
      <c r="Z117" s="67" t="n">
        <f aca="false">IF(AND(mthbeg&lt;=A117,mthend&gt;=A117),1,0)</f>
        <v>0</v>
      </c>
      <c r="AA117" s="67" t="n">
        <f aca="false">U117*Z117</f>
        <v>0</v>
      </c>
      <c r="AC117" s="110" t="n">
        <f aca="false">F117*(H117-I117)</f>
        <v>0</v>
      </c>
      <c r="AD117" s="49"/>
      <c r="AE117" s="124"/>
    </row>
    <row r="118" customFormat="false" ht="12.75" hidden="false" customHeight="false" outlineLevel="0" collapsed="false">
      <c r="A118" s="115" t="n">
        <f aca="false">EDATE(A117,1)</f>
        <v>40544</v>
      </c>
      <c r="B118" s="116" t="n">
        <f aca="false">'Inputs-Summary'!$B$7</f>
        <v>3017157.21662952</v>
      </c>
      <c r="C118" s="57"/>
      <c r="D118" s="117" t="n">
        <f aca="false">B118+C118</f>
        <v>3017157.21662952</v>
      </c>
      <c r="E118" s="106" t="n">
        <f aca="false">IF(Z118=0,0,IF(AND(Z118=1,$H$3=1),D118*U118,IF($H$3=2,D118,"N/A")))</f>
        <v>0</v>
      </c>
      <c r="F118" s="106" t="n">
        <f aca="false">E118*Y118</f>
        <v>0</v>
      </c>
      <c r="G118" s="118" t="n">
        <f aca="false">VLOOKUP($A118,Table,MATCH(G$4,Curves,0))</f>
        <v>3</v>
      </c>
      <c r="H118" s="119" t="n">
        <f aca="false">G118+$H$7</f>
        <v>3</v>
      </c>
      <c r="I118" s="118" t="n">
        <f aca="false">'Inputs-Summary'!$B$16</f>
        <v>1.85</v>
      </c>
      <c r="J118" s="118" t="n">
        <f aca="false">VLOOKUP($A118,Table,MATCH(J$4,Curves,0))</f>
        <v>5</v>
      </c>
      <c r="K118" s="119" t="n">
        <f aca="false">J118+$K$7</f>
        <v>5</v>
      </c>
      <c r="L118" s="120" t="n">
        <f aca="false">K118</f>
        <v>5</v>
      </c>
      <c r="M118" s="118" t="n">
        <f aca="false">VLOOKUP($A118,Table,MATCH(M$4,Curves,0))</f>
        <v>5</v>
      </c>
      <c r="N118" s="119" t="n">
        <f aca="false">M118+$N$7</f>
        <v>5</v>
      </c>
      <c r="O118" s="120" t="n">
        <f aca="false">N118</f>
        <v>5</v>
      </c>
      <c r="P118" s="109"/>
      <c r="Q118" s="120" t="n">
        <f aca="false">IF($F$3=1,M118+J118+G118,J118+G118)</f>
        <v>8</v>
      </c>
      <c r="R118" s="120" t="n">
        <f aca="false">IF($F$3=1,N118+K118+H118,K118+H118)</f>
        <v>8</v>
      </c>
      <c r="S118" s="120" t="n">
        <f aca="false">IF($F$3=1,O118+L118+I118,L118+I118)</f>
        <v>6.85</v>
      </c>
      <c r="T118" s="121"/>
      <c r="U118" s="67" t="n">
        <f aca="false">A119-A118</f>
        <v>31</v>
      </c>
      <c r="V118" s="122" t="n">
        <f aca="false">CHOOSE(F$3,A119+24,A118)</f>
        <v>40544</v>
      </c>
      <c r="W118" s="67" t="n">
        <f aca="false">V118-C$3</f>
        <v>-5382</v>
      </c>
      <c r="X118" s="118" t="n">
        <f aca="false">VLOOKUP($A118,Table,MATCH(X$4,Curves,0))</f>
        <v>2</v>
      </c>
      <c r="Y118" s="123" t="n">
        <f aca="false">1/(1+CHOOSE(F$3,(X119+($K$3/10000))/2,(X118+($K$3/10000))/2))^(2*W118/365.25)</f>
        <v>743741416.650684</v>
      </c>
      <c r="Z118" s="67" t="n">
        <f aca="false">IF(AND(mthbeg&lt;=A118,mthend&gt;=A118),1,0)</f>
        <v>0</v>
      </c>
      <c r="AA118" s="67" t="n">
        <f aca="false">U118*Z118</f>
        <v>0</v>
      </c>
      <c r="AC118" s="110" t="n">
        <f aca="false">F118*(H118-I118)</f>
        <v>0</v>
      </c>
      <c r="AD118" s="49"/>
      <c r="AE118" s="124"/>
    </row>
    <row r="119" customFormat="false" ht="12.75" hidden="false" customHeight="false" outlineLevel="0" collapsed="false">
      <c r="A119" s="115" t="n">
        <f aca="false">EDATE(A118,1)</f>
        <v>40575</v>
      </c>
      <c r="B119" s="116" t="n">
        <f aca="false">'Inputs-Summary'!$B$7</f>
        <v>3017157.21662952</v>
      </c>
      <c r="C119" s="57"/>
      <c r="D119" s="117" t="n">
        <f aca="false">B119+C119</f>
        <v>3017157.21662952</v>
      </c>
      <c r="E119" s="106" t="n">
        <f aca="false">IF(Z119=0,0,IF(AND(Z119=1,$H$3=1),D119*U119,IF($H$3=2,D119,"N/A")))</f>
        <v>0</v>
      </c>
      <c r="F119" s="106" t="n">
        <f aca="false">E119*Y119</f>
        <v>0</v>
      </c>
      <c r="G119" s="118" t="n">
        <f aca="false">VLOOKUP($A119,Table,MATCH(G$4,Curves,0))</f>
        <v>3</v>
      </c>
      <c r="H119" s="119" t="n">
        <f aca="false">G119+$H$7</f>
        <v>3</v>
      </c>
      <c r="I119" s="118" t="n">
        <f aca="false">'Inputs-Summary'!$B$16</f>
        <v>1.85</v>
      </c>
      <c r="J119" s="118" t="n">
        <f aca="false">VLOOKUP($A119,Table,MATCH(J$4,Curves,0))</f>
        <v>5</v>
      </c>
      <c r="K119" s="119" t="n">
        <f aca="false">J119+$K$7</f>
        <v>5</v>
      </c>
      <c r="L119" s="120" t="n">
        <f aca="false">K119</f>
        <v>5</v>
      </c>
      <c r="M119" s="118" t="n">
        <f aca="false">VLOOKUP($A119,Table,MATCH(M$4,Curves,0))</f>
        <v>5</v>
      </c>
      <c r="N119" s="119" t="n">
        <f aca="false">M119+$N$7</f>
        <v>5</v>
      </c>
      <c r="O119" s="120" t="n">
        <f aca="false">N119</f>
        <v>5</v>
      </c>
      <c r="P119" s="109"/>
      <c r="Q119" s="120" t="n">
        <f aca="false">IF($F$3=1,M119+J119+G119,J119+G119)</f>
        <v>8</v>
      </c>
      <c r="R119" s="120" t="n">
        <f aca="false">IF($F$3=1,N119+K119+H119,K119+H119)</f>
        <v>8</v>
      </c>
      <c r="S119" s="120" t="n">
        <f aca="false">IF($F$3=1,O119+L119+I119,L119+I119)</f>
        <v>6.85</v>
      </c>
      <c r="T119" s="121"/>
      <c r="U119" s="67" t="n">
        <f aca="false">A120-A119</f>
        <v>28</v>
      </c>
      <c r="V119" s="122" t="n">
        <f aca="false">CHOOSE(F$3,A120+24,A119)</f>
        <v>40575</v>
      </c>
      <c r="W119" s="67" t="n">
        <f aca="false">V119-C$3</f>
        <v>-5351</v>
      </c>
      <c r="X119" s="118" t="n">
        <f aca="false">VLOOKUP($A119,Table,MATCH(X$4,Curves,0))</f>
        <v>2</v>
      </c>
      <c r="Y119" s="123" t="n">
        <f aca="false">1/(1+CHOOSE(F$3,(X120+($K$3/10000))/2,(X119+($K$3/10000))/2))^(2*W119/365.25)</f>
        <v>661185169.36251</v>
      </c>
      <c r="Z119" s="67" t="n">
        <f aca="false">IF(AND(mthbeg&lt;=A119,mthend&gt;=A119),1,0)</f>
        <v>0</v>
      </c>
      <c r="AA119" s="67" t="n">
        <f aca="false">U119*Z119</f>
        <v>0</v>
      </c>
      <c r="AC119" s="110" t="n">
        <f aca="false">F119*(H119-I119)</f>
        <v>0</v>
      </c>
      <c r="AD119" s="49"/>
      <c r="AE119" s="124"/>
    </row>
    <row r="120" customFormat="false" ht="12.75" hidden="false" customHeight="false" outlineLevel="0" collapsed="false">
      <c r="A120" s="115" t="n">
        <f aca="false">EDATE(A119,1)</f>
        <v>40603</v>
      </c>
      <c r="B120" s="116" t="n">
        <f aca="false">'Inputs-Summary'!$B$7</f>
        <v>3017157.21662952</v>
      </c>
      <c r="C120" s="57"/>
      <c r="D120" s="117" t="n">
        <f aca="false">B120+C120</f>
        <v>3017157.21662952</v>
      </c>
      <c r="E120" s="106" t="n">
        <f aca="false">IF(Z120=0,0,IF(AND(Z120=1,$H$3=1),D120*U120,IF($H$3=2,D120,"N/A")))</f>
        <v>0</v>
      </c>
      <c r="F120" s="106" t="n">
        <f aca="false">E120*Y120</f>
        <v>0</v>
      </c>
      <c r="G120" s="118" t="n">
        <f aca="false">VLOOKUP($A120,Table,MATCH(G$4,Curves,0))</f>
        <v>3</v>
      </c>
      <c r="H120" s="119" t="n">
        <f aca="false">G120+$H$7</f>
        <v>3</v>
      </c>
      <c r="I120" s="118" t="n">
        <f aca="false">'Inputs-Summary'!$B$16</f>
        <v>1.85</v>
      </c>
      <c r="J120" s="118" t="n">
        <f aca="false">VLOOKUP($A120,Table,MATCH(J$4,Curves,0))</f>
        <v>5</v>
      </c>
      <c r="K120" s="119" t="n">
        <f aca="false">J120+$K$7</f>
        <v>5</v>
      </c>
      <c r="L120" s="120" t="n">
        <f aca="false">K120</f>
        <v>5</v>
      </c>
      <c r="M120" s="118" t="n">
        <f aca="false">VLOOKUP($A120,Table,MATCH(M$4,Curves,0))</f>
        <v>5</v>
      </c>
      <c r="N120" s="119" t="n">
        <f aca="false">M120+$N$7</f>
        <v>5</v>
      </c>
      <c r="O120" s="120" t="n">
        <f aca="false">N120</f>
        <v>5</v>
      </c>
      <c r="P120" s="109"/>
      <c r="Q120" s="120" t="n">
        <f aca="false">IF($F$3=1,M120+J120+G120,J120+G120)</f>
        <v>8</v>
      </c>
      <c r="R120" s="120" t="n">
        <f aca="false">IF($F$3=1,N120+K120+H120,K120+H120)</f>
        <v>8</v>
      </c>
      <c r="S120" s="120" t="n">
        <f aca="false">IF($F$3=1,O120+L120+I120,L120+I120)</f>
        <v>6.85</v>
      </c>
      <c r="T120" s="121"/>
      <c r="U120" s="67" t="n">
        <f aca="false">A121-A120</f>
        <v>31</v>
      </c>
      <c r="V120" s="122" t="n">
        <f aca="false">CHOOSE(F$3,A121+24,A120)</f>
        <v>40603</v>
      </c>
      <c r="W120" s="67" t="n">
        <f aca="false">V120-C$3</f>
        <v>-5323</v>
      </c>
      <c r="X120" s="118" t="n">
        <f aca="false">VLOOKUP($A120,Table,MATCH(X$4,Curves,0))</f>
        <v>2</v>
      </c>
      <c r="Y120" s="123" t="n">
        <f aca="false">1/(1+CHOOSE(F$3,(X121+($K$3/10000))/2,(X120+($K$3/10000))/2))^(2*W120/365.25)</f>
        <v>594523864.104377</v>
      </c>
      <c r="Z120" s="67" t="n">
        <f aca="false">IF(AND(mthbeg&lt;=A120,mthend&gt;=A120),1,0)</f>
        <v>0</v>
      </c>
      <c r="AA120" s="67" t="n">
        <f aca="false">U120*Z120</f>
        <v>0</v>
      </c>
      <c r="AC120" s="110" t="n">
        <f aca="false">F120*(H120-I120)</f>
        <v>0</v>
      </c>
      <c r="AD120" s="49"/>
      <c r="AE120" s="124"/>
    </row>
    <row r="121" customFormat="false" ht="12.75" hidden="false" customHeight="false" outlineLevel="0" collapsed="false">
      <c r="A121" s="115" t="n">
        <f aca="false">EDATE(A120,1)</f>
        <v>40634</v>
      </c>
      <c r="B121" s="116" t="n">
        <f aca="false">'Inputs-Summary'!$B$7</f>
        <v>3017157.21662952</v>
      </c>
      <c r="C121" s="57"/>
      <c r="D121" s="117" t="n">
        <f aca="false">B121+C121</f>
        <v>3017157.21662952</v>
      </c>
      <c r="E121" s="106" t="n">
        <f aca="false">IF(Z121=0,0,IF(AND(Z121=1,$H$3=1),D121*U121,IF($H$3=2,D121,"N/A")))</f>
        <v>0</v>
      </c>
      <c r="F121" s="106" t="n">
        <f aca="false">E121*Y121</f>
        <v>0</v>
      </c>
      <c r="G121" s="118" t="n">
        <f aca="false">VLOOKUP($A121,Table,MATCH(G$4,Curves,0))</f>
        <v>3</v>
      </c>
      <c r="H121" s="119" t="n">
        <f aca="false">G121+$H$7</f>
        <v>3</v>
      </c>
      <c r="I121" s="118" t="n">
        <f aca="false">'Inputs-Summary'!$B$16</f>
        <v>1.85</v>
      </c>
      <c r="J121" s="118" t="n">
        <f aca="false">VLOOKUP($A121,Table,MATCH(J$4,Curves,0))</f>
        <v>5</v>
      </c>
      <c r="K121" s="119" t="n">
        <f aca="false">J121+$K$7</f>
        <v>5</v>
      </c>
      <c r="L121" s="120" t="n">
        <f aca="false">K121</f>
        <v>5</v>
      </c>
      <c r="M121" s="118" t="n">
        <f aca="false">VLOOKUP($A121,Table,MATCH(M$4,Curves,0))</f>
        <v>5</v>
      </c>
      <c r="N121" s="119" t="n">
        <f aca="false">M121+$N$7</f>
        <v>5</v>
      </c>
      <c r="O121" s="120" t="n">
        <f aca="false">N121</f>
        <v>5</v>
      </c>
      <c r="P121" s="109"/>
      <c r="Q121" s="120" t="n">
        <f aca="false">IF($F$3=1,M121+J121+G121,J121+G121)</f>
        <v>8</v>
      </c>
      <c r="R121" s="120" t="n">
        <f aca="false">IF($F$3=1,N121+K121+H121,K121+H121)</f>
        <v>8</v>
      </c>
      <c r="S121" s="120" t="n">
        <f aca="false">IF($F$3=1,O121+L121+I121,L121+I121)</f>
        <v>6.85</v>
      </c>
      <c r="T121" s="121"/>
      <c r="U121" s="67" t="n">
        <f aca="false">A122-A121</f>
        <v>30</v>
      </c>
      <c r="V121" s="122" t="n">
        <f aca="false">CHOOSE(F$3,A122+24,A121)</f>
        <v>40634</v>
      </c>
      <c r="W121" s="67" t="n">
        <f aca="false">V121-C$3</f>
        <v>-5292</v>
      </c>
      <c r="X121" s="118" t="n">
        <f aca="false">VLOOKUP($A121,Table,MATCH(X$4,Curves,0))</f>
        <v>2</v>
      </c>
      <c r="Y121" s="123" t="n">
        <f aca="false">1/(1+CHOOSE(F$3,(X122+($K$3/10000))/2,(X121+($K$3/10000))/2))^(2*W121/365.25)</f>
        <v>528530955.756268</v>
      </c>
      <c r="Z121" s="67" t="n">
        <f aca="false">IF(AND(mthbeg&lt;=A121,mthend&gt;=A121),1,0)</f>
        <v>0</v>
      </c>
      <c r="AA121" s="67" t="n">
        <f aca="false">U121*Z121</f>
        <v>0</v>
      </c>
      <c r="AC121" s="110" t="n">
        <f aca="false">F121*(H121-I121)</f>
        <v>0</v>
      </c>
      <c r="AD121" s="49"/>
      <c r="AE121" s="124"/>
    </row>
    <row r="122" customFormat="false" ht="12.75" hidden="false" customHeight="false" outlineLevel="0" collapsed="false">
      <c r="A122" s="115" t="n">
        <f aca="false">EDATE(A121,1)</f>
        <v>40664</v>
      </c>
      <c r="B122" s="116" t="n">
        <f aca="false">'Inputs-Summary'!$B$7</f>
        <v>3017157.21662952</v>
      </c>
      <c r="C122" s="57"/>
      <c r="D122" s="117" t="n">
        <f aca="false">B122+C122</f>
        <v>3017157.21662952</v>
      </c>
      <c r="E122" s="106" t="n">
        <f aca="false">IF(Z122=0,0,IF(AND(Z122=1,$H$3=1),D122*U122,IF($H$3=2,D122,"N/A")))</f>
        <v>0</v>
      </c>
      <c r="F122" s="106" t="n">
        <f aca="false">E122*Y122</f>
        <v>0</v>
      </c>
      <c r="G122" s="118" t="n">
        <f aca="false">VLOOKUP($A122,Table,MATCH(G$4,Curves,0))</f>
        <v>3</v>
      </c>
      <c r="H122" s="119" t="n">
        <f aca="false">G122+$H$7</f>
        <v>3</v>
      </c>
      <c r="I122" s="118" t="n">
        <f aca="false">'Inputs-Summary'!$B$16</f>
        <v>1.85</v>
      </c>
      <c r="J122" s="118" t="n">
        <f aca="false">VLOOKUP($A122,Table,MATCH(J$4,Curves,0))</f>
        <v>5</v>
      </c>
      <c r="K122" s="119" t="n">
        <f aca="false">J122+$K$7</f>
        <v>5</v>
      </c>
      <c r="L122" s="120" t="n">
        <f aca="false">K122</f>
        <v>5</v>
      </c>
      <c r="M122" s="118" t="n">
        <f aca="false">VLOOKUP($A122,Table,MATCH(M$4,Curves,0))</f>
        <v>5</v>
      </c>
      <c r="N122" s="119" t="n">
        <f aca="false">M122+$N$7</f>
        <v>5</v>
      </c>
      <c r="O122" s="120" t="n">
        <f aca="false">N122</f>
        <v>5</v>
      </c>
      <c r="P122" s="109"/>
      <c r="Q122" s="120" t="n">
        <f aca="false">IF($F$3=1,M122+J122+G122,J122+G122)</f>
        <v>8</v>
      </c>
      <c r="R122" s="120" t="n">
        <f aca="false">IF($F$3=1,N122+K122+H122,K122+H122)</f>
        <v>8</v>
      </c>
      <c r="S122" s="120" t="n">
        <f aca="false">IF($F$3=1,O122+L122+I122,L122+I122)</f>
        <v>6.85</v>
      </c>
      <c r="T122" s="121"/>
      <c r="U122" s="67" t="n">
        <f aca="false">A123-A122</f>
        <v>31</v>
      </c>
      <c r="V122" s="122" t="n">
        <f aca="false">CHOOSE(F$3,A123+24,A122)</f>
        <v>40664</v>
      </c>
      <c r="W122" s="67" t="n">
        <f aca="false">V122-C$3</f>
        <v>-5262</v>
      </c>
      <c r="X122" s="118" t="n">
        <f aca="false">VLOOKUP($A122,Table,MATCH(X$4,Curves,0))</f>
        <v>2</v>
      </c>
      <c r="Y122" s="123" t="n">
        <f aca="false">1/(1+CHOOSE(F$3,(X123+($K$3/10000))/2,(X122+($K$3/10000))/2))^(2*W122/365.25)</f>
        <v>471650084.012655</v>
      </c>
      <c r="Z122" s="67" t="n">
        <f aca="false">IF(AND(mthbeg&lt;=A122,mthend&gt;=A122),1,0)</f>
        <v>0</v>
      </c>
      <c r="AA122" s="67" t="n">
        <f aca="false">U122*Z122</f>
        <v>0</v>
      </c>
      <c r="AC122" s="110" t="n">
        <f aca="false">F122*(H122-I122)</f>
        <v>0</v>
      </c>
      <c r="AD122" s="49"/>
      <c r="AE122" s="124"/>
    </row>
    <row r="123" customFormat="false" ht="12.75" hidden="false" customHeight="false" outlineLevel="0" collapsed="false">
      <c r="A123" s="115" t="n">
        <f aca="false">EDATE(A122,1)</f>
        <v>40695</v>
      </c>
      <c r="B123" s="116" t="n">
        <f aca="false">'Inputs-Summary'!$B$7</f>
        <v>3017157.21662952</v>
      </c>
      <c r="C123" s="57"/>
      <c r="D123" s="117" t="n">
        <f aca="false">B123+C123</f>
        <v>3017157.21662952</v>
      </c>
      <c r="E123" s="106" t="n">
        <f aca="false">IF(Z123=0,0,IF(AND(Z123=1,$H$3=1),D123*U123,IF($H$3=2,D123,"N/A")))</f>
        <v>0</v>
      </c>
      <c r="F123" s="106" t="n">
        <f aca="false">E123*Y123</f>
        <v>0</v>
      </c>
      <c r="G123" s="118" t="n">
        <f aca="false">VLOOKUP($A123,Table,MATCH(G$4,Curves,0))</f>
        <v>3</v>
      </c>
      <c r="H123" s="119" t="n">
        <f aca="false">G123+$H$7</f>
        <v>3</v>
      </c>
      <c r="I123" s="118" t="n">
        <f aca="false">'Inputs-Summary'!$B$16</f>
        <v>1.85</v>
      </c>
      <c r="J123" s="118" t="n">
        <f aca="false">VLOOKUP($A123,Table,MATCH(J$4,Curves,0))</f>
        <v>5</v>
      </c>
      <c r="K123" s="119" t="n">
        <f aca="false">J123+$K$7</f>
        <v>5</v>
      </c>
      <c r="L123" s="120" t="n">
        <f aca="false">K123</f>
        <v>5</v>
      </c>
      <c r="M123" s="118" t="n">
        <f aca="false">VLOOKUP($A123,Table,MATCH(M$4,Curves,0))</f>
        <v>5</v>
      </c>
      <c r="N123" s="119" t="n">
        <f aca="false">M123+$N$7</f>
        <v>5</v>
      </c>
      <c r="O123" s="120" t="n">
        <f aca="false">N123</f>
        <v>5</v>
      </c>
      <c r="P123" s="109"/>
      <c r="Q123" s="120" t="n">
        <f aca="false">IF($F$3=1,M123+J123+G123,J123+G123)</f>
        <v>8</v>
      </c>
      <c r="R123" s="120" t="n">
        <f aca="false">IF($F$3=1,N123+K123+H123,K123+H123)</f>
        <v>8</v>
      </c>
      <c r="S123" s="120" t="n">
        <f aca="false">IF($F$3=1,O123+L123+I123,L123+I123)</f>
        <v>6.85</v>
      </c>
      <c r="T123" s="121"/>
      <c r="U123" s="67" t="n">
        <f aca="false">A124-A123</f>
        <v>30</v>
      </c>
      <c r="V123" s="122" t="n">
        <f aca="false">CHOOSE(F$3,A124+24,A123)</f>
        <v>40695</v>
      </c>
      <c r="W123" s="67" t="n">
        <f aca="false">V123-C$3</f>
        <v>-5231</v>
      </c>
      <c r="X123" s="118" t="n">
        <f aca="false">VLOOKUP($A123,Table,MATCH(X$4,Curves,0))</f>
        <v>2</v>
      </c>
      <c r="Y123" s="123" t="n">
        <f aca="false">1/(1+CHOOSE(F$3,(X124+($K$3/10000))/2,(X123+($K$3/10000))/2))^(2*W123/365.25)</f>
        <v>419296322.21116</v>
      </c>
      <c r="Z123" s="67" t="n">
        <f aca="false">IF(AND(mthbeg&lt;=A123,mthend&gt;=A123),1,0)</f>
        <v>0</v>
      </c>
      <c r="AA123" s="67" t="n">
        <f aca="false">U123*Z123</f>
        <v>0</v>
      </c>
      <c r="AC123" s="110" t="n">
        <f aca="false">F123*(H123-I123)</f>
        <v>0</v>
      </c>
      <c r="AD123" s="49"/>
      <c r="AE123" s="124"/>
    </row>
    <row r="124" customFormat="false" ht="12.75" hidden="false" customHeight="false" outlineLevel="0" collapsed="false">
      <c r="A124" s="115" t="n">
        <f aca="false">EDATE(A123,1)</f>
        <v>40725</v>
      </c>
      <c r="B124" s="116" t="n">
        <f aca="false">'Inputs-Summary'!$B$7</f>
        <v>3017157.21662952</v>
      </c>
      <c r="C124" s="57"/>
      <c r="D124" s="117" t="n">
        <f aca="false">B124+C124</f>
        <v>3017157.21662952</v>
      </c>
      <c r="E124" s="106" t="n">
        <f aca="false">IF(Z124=0,0,IF(AND(Z124=1,$H$3=1),D124*U124,IF($H$3=2,D124,"N/A")))</f>
        <v>0</v>
      </c>
      <c r="F124" s="106" t="n">
        <f aca="false">E124*Y124</f>
        <v>0</v>
      </c>
      <c r="G124" s="118" t="n">
        <f aca="false">VLOOKUP($A124,Table,MATCH(G$4,Curves,0))</f>
        <v>3</v>
      </c>
      <c r="H124" s="119" t="n">
        <f aca="false">G124+$H$7</f>
        <v>3</v>
      </c>
      <c r="I124" s="118" t="n">
        <f aca="false">'Inputs-Summary'!$B$16</f>
        <v>1.85</v>
      </c>
      <c r="J124" s="118" t="n">
        <f aca="false">VLOOKUP($A124,Table,MATCH(J$4,Curves,0))</f>
        <v>5</v>
      </c>
      <c r="K124" s="119" t="n">
        <f aca="false">J124+$K$7</f>
        <v>5</v>
      </c>
      <c r="L124" s="120" t="n">
        <f aca="false">K124</f>
        <v>5</v>
      </c>
      <c r="M124" s="118" t="n">
        <f aca="false">VLOOKUP($A124,Table,MATCH(M$4,Curves,0))</f>
        <v>5</v>
      </c>
      <c r="N124" s="119" t="n">
        <f aca="false">M124+$N$7</f>
        <v>5</v>
      </c>
      <c r="O124" s="120" t="n">
        <f aca="false">N124</f>
        <v>5</v>
      </c>
      <c r="P124" s="109"/>
      <c r="Q124" s="120" t="n">
        <f aca="false">IF($F$3=1,M124+J124+G124,J124+G124)</f>
        <v>8</v>
      </c>
      <c r="R124" s="120" t="n">
        <f aca="false">IF($F$3=1,N124+K124+H124,K124+H124)</f>
        <v>8</v>
      </c>
      <c r="S124" s="120" t="n">
        <f aca="false">IF($F$3=1,O124+L124+I124,L124+I124)</f>
        <v>6.85</v>
      </c>
      <c r="T124" s="121"/>
      <c r="U124" s="67" t="n">
        <f aca="false">A125-A124</f>
        <v>31</v>
      </c>
      <c r="V124" s="122" t="n">
        <f aca="false">CHOOSE(F$3,A125+24,A124)</f>
        <v>40725</v>
      </c>
      <c r="W124" s="67" t="n">
        <f aca="false">V124-C$3</f>
        <v>-5201</v>
      </c>
      <c r="X124" s="118" t="n">
        <f aca="false">VLOOKUP($A124,Table,MATCH(X$4,Curves,0))</f>
        <v>2</v>
      </c>
      <c r="Y124" s="123" t="n">
        <f aca="false">1/(1+CHOOSE(F$3,(X125+($K$3/10000))/2,(X124+($K$3/10000))/2))^(2*W124/365.25)</f>
        <v>374171358.258698</v>
      </c>
      <c r="Z124" s="67" t="n">
        <f aca="false">IF(AND(mthbeg&lt;=A124,mthend&gt;=A124),1,0)</f>
        <v>0</v>
      </c>
      <c r="AA124" s="67" t="n">
        <f aca="false">U124*Z124</f>
        <v>0</v>
      </c>
      <c r="AC124" s="110" t="n">
        <f aca="false">F124*(H124-I124)</f>
        <v>0</v>
      </c>
      <c r="AD124" s="49"/>
      <c r="AE124" s="124"/>
    </row>
    <row r="125" customFormat="false" ht="12.75" hidden="false" customHeight="false" outlineLevel="0" collapsed="false">
      <c r="A125" s="115" t="n">
        <f aca="false">EDATE(A124,1)</f>
        <v>40756</v>
      </c>
      <c r="B125" s="116" t="n">
        <f aca="false">'Inputs-Summary'!$B$7</f>
        <v>3017157.21662952</v>
      </c>
      <c r="C125" s="57"/>
      <c r="D125" s="117" t="n">
        <f aca="false">B125+C125</f>
        <v>3017157.21662952</v>
      </c>
      <c r="E125" s="106" t="n">
        <f aca="false">IF(Z125=0,0,IF(AND(Z125=1,$H$3=1),D125*U125,IF($H$3=2,D125,"N/A")))</f>
        <v>0</v>
      </c>
      <c r="F125" s="106" t="n">
        <f aca="false">E125*Y125</f>
        <v>0</v>
      </c>
      <c r="G125" s="118" t="n">
        <f aca="false">VLOOKUP($A125,Table,MATCH(G$4,Curves,0))</f>
        <v>3</v>
      </c>
      <c r="H125" s="119" t="n">
        <f aca="false">G125+$H$7</f>
        <v>3</v>
      </c>
      <c r="I125" s="118" t="n">
        <f aca="false">'Inputs-Summary'!$B$16</f>
        <v>1.85</v>
      </c>
      <c r="J125" s="118" t="n">
        <f aca="false">VLOOKUP($A125,Table,MATCH(J$4,Curves,0))</f>
        <v>5</v>
      </c>
      <c r="K125" s="119" t="n">
        <f aca="false">J125+$K$7</f>
        <v>5</v>
      </c>
      <c r="L125" s="120" t="n">
        <f aca="false">K125</f>
        <v>5</v>
      </c>
      <c r="M125" s="118" t="n">
        <f aca="false">VLOOKUP($A125,Table,MATCH(M$4,Curves,0))</f>
        <v>5</v>
      </c>
      <c r="N125" s="119" t="n">
        <f aca="false">M125+$N$7</f>
        <v>5</v>
      </c>
      <c r="O125" s="120" t="n">
        <f aca="false">N125</f>
        <v>5</v>
      </c>
      <c r="P125" s="109"/>
      <c r="Q125" s="120" t="n">
        <f aca="false">IF($F$3=1,M125+J125+G125,J125+G125)</f>
        <v>8</v>
      </c>
      <c r="R125" s="120" t="n">
        <f aca="false">IF($F$3=1,N125+K125+H125,K125+H125)</f>
        <v>8</v>
      </c>
      <c r="S125" s="120" t="n">
        <f aca="false">IF($F$3=1,O125+L125+I125,L125+I125)</f>
        <v>6.85</v>
      </c>
      <c r="T125" s="121"/>
      <c r="U125" s="67" t="n">
        <f aca="false">A126-A125</f>
        <v>31</v>
      </c>
      <c r="V125" s="122" t="n">
        <f aca="false">CHOOSE(F$3,A126+24,A125)</f>
        <v>40756</v>
      </c>
      <c r="W125" s="67" t="n">
        <f aca="false">V125-C$3</f>
        <v>-5170</v>
      </c>
      <c r="X125" s="118" t="n">
        <f aca="false">VLOOKUP($A125,Table,MATCH(X$4,Curves,0))</f>
        <v>2</v>
      </c>
      <c r="Y125" s="123" t="n">
        <f aca="false">1/(1+CHOOSE(F$3,(X126+($K$3/10000))/2,(X125+($K$3/10000))/2))^(2*W125/365.25)</f>
        <v>332637859.533206</v>
      </c>
      <c r="Z125" s="67" t="n">
        <f aca="false">IF(AND(mthbeg&lt;=A125,mthend&gt;=A125),1,0)</f>
        <v>0</v>
      </c>
      <c r="AA125" s="67" t="n">
        <f aca="false">U125*Z125</f>
        <v>0</v>
      </c>
      <c r="AC125" s="110" t="n">
        <f aca="false">F125*(H125-I125)</f>
        <v>0</v>
      </c>
      <c r="AD125" s="49"/>
      <c r="AE125" s="124"/>
    </row>
    <row r="126" customFormat="false" ht="12.75" hidden="false" customHeight="false" outlineLevel="0" collapsed="false">
      <c r="A126" s="115" t="n">
        <f aca="false">EDATE(A125,1)</f>
        <v>40787</v>
      </c>
      <c r="B126" s="116" t="n">
        <f aca="false">'Inputs-Summary'!$B$7</f>
        <v>3017157.21662952</v>
      </c>
      <c r="C126" s="57"/>
      <c r="D126" s="117" t="n">
        <f aca="false">B126+C126</f>
        <v>3017157.21662952</v>
      </c>
      <c r="E126" s="106" t="n">
        <f aca="false">IF(Z126=0,0,IF(AND(Z126=1,$H$3=1),D126*U126,IF($H$3=2,D126,"N/A")))</f>
        <v>0</v>
      </c>
      <c r="F126" s="106" t="n">
        <f aca="false">E126*Y126</f>
        <v>0</v>
      </c>
      <c r="G126" s="118" t="n">
        <f aca="false">VLOOKUP($A126,Table,MATCH(G$4,Curves,0))</f>
        <v>3</v>
      </c>
      <c r="H126" s="119" t="n">
        <f aca="false">G126+$H$7</f>
        <v>3</v>
      </c>
      <c r="I126" s="118" t="n">
        <f aca="false">'Inputs-Summary'!$B$16</f>
        <v>1.85</v>
      </c>
      <c r="J126" s="118" t="n">
        <f aca="false">VLOOKUP($A126,Table,MATCH(J$4,Curves,0))</f>
        <v>5</v>
      </c>
      <c r="K126" s="119" t="n">
        <f aca="false">J126+$K$7</f>
        <v>5</v>
      </c>
      <c r="L126" s="120" t="n">
        <f aca="false">K126</f>
        <v>5</v>
      </c>
      <c r="M126" s="118" t="n">
        <f aca="false">VLOOKUP($A126,Table,MATCH(M$4,Curves,0))</f>
        <v>5</v>
      </c>
      <c r="N126" s="119" t="n">
        <f aca="false">M126+$N$7</f>
        <v>5</v>
      </c>
      <c r="O126" s="120" t="n">
        <f aca="false">N126</f>
        <v>5</v>
      </c>
      <c r="P126" s="109"/>
      <c r="Q126" s="120" t="n">
        <f aca="false">IF($F$3=1,M126+J126+G126,J126+G126)</f>
        <v>8</v>
      </c>
      <c r="R126" s="120" t="n">
        <f aca="false">IF($F$3=1,N126+K126+H126,K126+H126)</f>
        <v>8</v>
      </c>
      <c r="S126" s="120" t="n">
        <f aca="false">IF($F$3=1,O126+L126+I126,L126+I126)</f>
        <v>6.85</v>
      </c>
      <c r="T126" s="121"/>
      <c r="U126" s="67" t="n">
        <f aca="false">A127-A126</f>
        <v>30</v>
      </c>
      <c r="V126" s="122" t="n">
        <f aca="false">CHOOSE(F$3,A127+24,A126)</f>
        <v>40787</v>
      </c>
      <c r="W126" s="67" t="n">
        <f aca="false">V126-C$3</f>
        <v>-5139</v>
      </c>
      <c r="X126" s="118" t="n">
        <f aca="false">VLOOKUP($A126,Table,MATCH(X$4,Curves,0))</f>
        <v>2</v>
      </c>
      <c r="Y126" s="123" t="n">
        <f aca="false">1/(1+CHOOSE(F$3,(X127+($K$3/10000))/2,(X126+($K$3/10000))/2))^(2*W126/365.25)</f>
        <v>295714632.220278</v>
      </c>
      <c r="Z126" s="67" t="n">
        <f aca="false">IF(AND(mthbeg&lt;=A126,mthend&gt;=A126),1,0)</f>
        <v>0</v>
      </c>
      <c r="AA126" s="67" t="n">
        <f aca="false">U126*Z126</f>
        <v>0</v>
      </c>
      <c r="AC126" s="110" t="n">
        <f aca="false">F126*(H126-I126)</f>
        <v>0</v>
      </c>
      <c r="AD126" s="49"/>
      <c r="AE126" s="124"/>
    </row>
    <row r="127" customFormat="false" ht="12.75" hidden="false" customHeight="false" outlineLevel="0" collapsed="false">
      <c r="A127" s="115" t="n">
        <f aca="false">EDATE(A126,1)</f>
        <v>40817</v>
      </c>
      <c r="B127" s="116" t="n">
        <f aca="false">'Inputs-Summary'!$B$7</f>
        <v>3017157.21662952</v>
      </c>
      <c r="C127" s="57"/>
      <c r="D127" s="117" t="n">
        <f aca="false">B127+C127</f>
        <v>3017157.21662952</v>
      </c>
      <c r="E127" s="106" t="n">
        <f aca="false">IF(Z127=0,0,IF(AND(Z127=1,$H$3=1),D127*U127,IF($H$3=2,D127,"N/A")))</f>
        <v>0</v>
      </c>
      <c r="F127" s="106" t="n">
        <f aca="false">E127*Y127</f>
        <v>0</v>
      </c>
      <c r="G127" s="118" t="n">
        <f aca="false">VLOOKUP($A127,Table,MATCH(G$4,Curves,0))</f>
        <v>3</v>
      </c>
      <c r="H127" s="119" t="n">
        <f aca="false">G127+$H$7</f>
        <v>3</v>
      </c>
      <c r="I127" s="118" t="n">
        <f aca="false">'Inputs-Summary'!$B$16</f>
        <v>1.85</v>
      </c>
      <c r="J127" s="118" t="n">
        <f aca="false">VLOOKUP($A127,Table,MATCH(J$4,Curves,0))</f>
        <v>5</v>
      </c>
      <c r="K127" s="119" t="n">
        <f aca="false">J127+$K$7</f>
        <v>5</v>
      </c>
      <c r="L127" s="120" t="n">
        <f aca="false">K127</f>
        <v>5</v>
      </c>
      <c r="M127" s="118" t="n">
        <f aca="false">VLOOKUP($A127,Table,MATCH(M$4,Curves,0))</f>
        <v>5</v>
      </c>
      <c r="N127" s="119" t="n">
        <f aca="false">M127+$N$7</f>
        <v>5</v>
      </c>
      <c r="O127" s="120" t="n">
        <f aca="false">N127</f>
        <v>5</v>
      </c>
      <c r="P127" s="109"/>
      <c r="Q127" s="120" t="n">
        <f aca="false">IF($F$3=1,M127+J127+G127,J127+G127)</f>
        <v>8</v>
      </c>
      <c r="R127" s="120" t="n">
        <f aca="false">IF($F$3=1,N127+K127+H127,K127+H127)</f>
        <v>8</v>
      </c>
      <c r="S127" s="120" t="n">
        <f aca="false">IF($F$3=1,O127+L127+I127,L127+I127)</f>
        <v>6.85</v>
      </c>
      <c r="T127" s="121"/>
      <c r="U127" s="67" t="n">
        <f aca="false">A128-A127</f>
        <v>31</v>
      </c>
      <c r="V127" s="122" t="n">
        <f aca="false">CHOOSE(F$3,A128+24,A127)</f>
        <v>40817</v>
      </c>
      <c r="W127" s="67" t="n">
        <f aca="false">V127-C$3</f>
        <v>-5109</v>
      </c>
      <c r="X127" s="118" t="n">
        <f aca="false">VLOOKUP($A127,Table,MATCH(X$4,Curves,0))</f>
        <v>2</v>
      </c>
      <c r="Y127" s="123" t="n">
        <f aca="false">1/(1+CHOOSE(F$3,(X128+($K$3/10000))/2,(X127+($K$3/10000))/2))^(2*W127/365.25)</f>
        <v>263889616.325112</v>
      </c>
      <c r="Z127" s="67" t="n">
        <f aca="false">IF(AND(mthbeg&lt;=A127,mthend&gt;=A127),1,0)</f>
        <v>0</v>
      </c>
      <c r="AA127" s="67" t="n">
        <f aca="false">U127*Z127</f>
        <v>0</v>
      </c>
      <c r="AC127" s="110" t="n">
        <f aca="false">F127*(H127-I127)</f>
        <v>0</v>
      </c>
      <c r="AD127" s="49"/>
      <c r="AE127" s="124"/>
    </row>
    <row r="128" customFormat="false" ht="12.75" hidden="false" customHeight="false" outlineLevel="0" collapsed="false">
      <c r="A128" s="115" t="n">
        <f aca="false">EDATE(A127,1)</f>
        <v>40848</v>
      </c>
      <c r="B128" s="116" t="n">
        <f aca="false">'Inputs-Summary'!$B$7</f>
        <v>3017157.21662952</v>
      </c>
      <c r="C128" s="57"/>
      <c r="D128" s="117" t="n">
        <f aca="false">B128+C128</f>
        <v>3017157.21662952</v>
      </c>
      <c r="E128" s="106" t="n">
        <f aca="false">IF(Z128=0,0,IF(AND(Z128=1,$H$3=1),D128*U128,IF($H$3=2,D128,"N/A")))</f>
        <v>0</v>
      </c>
      <c r="F128" s="106" t="n">
        <f aca="false">E128*Y128</f>
        <v>0</v>
      </c>
      <c r="G128" s="118" t="n">
        <f aca="false">VLOOKUP($A128,Table,MATCH(G$4,Curves,0))</f>
        <v>3</v>
      </c>
      <c r="H128" s="119" t="n">
        <f aca="false">G128+$H$7</f>
        <v>3</v>
      </c>
      <c r="I128" s="118" t="n">
        <f aca="false">'Inputs-Summary'!$B$16</f>
        <v>1.85</v>
      </c>
      <c r="J128" s="118" t="n">
        <f aca="false">VLOOKUP($A128,Table,MATCH(J$4,Curves,0))</f>
        <v>5</v>
      </c>
      <c r="K128" s="119" t="n">
        <f aca="false">J128+$K$7</f>
        <v>5</v>
      </c>
      <c r="L128" s="120" t="n">
        <f aca="false">K128</f>
        <v>5</v>
      </c>
      <c r="M128" s="118" t="n">
        <f aca="false">VLOOKUP($A128,Table,MATCH(M$4,Curves,0))</f>
        <v>5</v>
      </c>
      <c r="N128" s="119" t="n">
        <f aca="false">M128+$N$7</f>
        <v>5</v>
      </c>
      <c r="O128" s="120" t="n">
        <f aca="false">N128</f>
        <v>5</v>
      </c>
      <c r="P128" s="109"/>
      <c r="Q128" s="120" t="n">
        <f aca="false">IF($F$3=1,M128+J128+G128,J128+G128)</f>
        <v>8</v>
      </c>
      <c r="R128" s="120" t="n">
        <f aca="false">IF($F$3=1,N128+K128+H128,K128+H128)</f>
        <v>8</v>
      </c>
      <c r="S128" s="120" t="n">
        <f aca="false">IF($F$3=1,O128+L128+I128,L128+I128)</f>
        <v>6.85</v>
      </c>
      <c r="T128" s="121"/>
      <c r="U128" s="67" t="n">
        <f aca="false">A129-A128</f>
        <v>30</v>
      </c>
      <c r="V128" s="122" t="n">
        <f aca="false">CHOOSE(F$3,A129+24,A128)</f>
        <v>40848</v>
      </c>
      <c r="W128" s="67" t="n">
        <f aca="false">V128-C$3</f>
        <v>-5078</v>
      </c>
      <c r="X128" s="118" t="n">
        <f aca="false">VLOOKUP($A128,Table,MATCH(X$4,Curves,0))</f>
        <v>2</v>
      </c>
      <c r="Y128" s="123" t="n">
        <f aca="false">1/(1+CHOOSE(F$3,(X129+($K$3/10000))/2,(X128+($K$3/10000))/2))^(2*W128/365.25)</f>
        <v>234597531.82587</v>
      </c>
      <c r="Z128" s="67" t="n">
        <f aca="false">IF(AND(mthbeg&lt;=A128,mthend&gt;=A128),1,0)</f>
        <v>0</v>
      </c>
      <c r="AA128" s="67" t="n">
        <f aca="false">U128*Z128</f>
        <v>0</v>
      </c>
      <c r="AC128" s="110" t="n">
        <f aca="false">F128*(H128-I128)</f>
        <v>0</v>
      </c>
      <c r="AD128" s="49"/>
      <c r="AE128" s="124"/>
    </row>
    <row r="129" customFormat="false" ht="12.75" hidden="false" customHeight="false" outlineLevel="0" collapsed="false">
      <c r="A129" s="115" t="n">
        <f aca="false">EDATE(A128,1)</f>
        <v>40878</v>
      </c>
      <c r="B129" s="116" t="n">
        <f aca="false">'Inputs-Summary'!$B$7</f>
        <v>3017157.21662952</v>
      </c>
      <c r="C129" s="57"/>
      <c r="D129" s="117" t="n">
        <f aca="false">B129+C129</f>
        <v>3017157.21662952</v>
      </c>
      <c r="E129" s="106" t="n">
        <f aca="false">IF(Z129=0,0,IF(AND(Z129=1,$H$3=1),D129*U129,IF($H$3=2,D129,"N/A")))</f>
        <v>0</v>
      </c>
      <c r="F129" s="106" t="n">
        <f aca="false">E129*Y129</f>
        <v>0</v>
      </c>
      <c r="G129" s="118" t="n">
        <f aca="false">VLOOKUP($A129,Table,MATCH(G$4,Curves,0))</f>
        <v>3</v>
      </c>
      <c r="H129" s="119" t="n">
        <f aca="false">G129+$H$7</f>
        <v>3</v>
      </c>
      <c r="I129" s="118" t="n">
        <f aca="false">'Inputs-Summary'!$B$16</f>
        <v>1.85</v>
      </c>
      <c r="J129" s="118" t="n">
        <f aca="false">VLOOKUP($A129,Table,MATCH(J$4,Curves,0))</f>
        <v>5</v>
      </c>
      <c r="K129" s="119" t="n">
        <f aca="false">J129+$K$7</f>
        <v>5</v>
      </c>
      <c r="L129" s="120" t="n">
        <f aca="false">K129</f>
        <v>5</v>
      </c>
      <c r="M129" s="118" t="n">
        <f aca="false">VLOOKUP($A129,Table,MATCH(M$4,Curves,0))</f>
        <v>5</v>
      </c>
      <c r="N129" s="119" t="n">
        <f aca="false">M129+$N$7</f>
        <v>5</v>
      </c>
      <c r="O129" s="120" t="n">
        <f aca="false">N129</f>
        <v>5</v>
      </c>
      <c r="P129" s="109"/>
      <c r="Q129" s="120" t="n">
        <f aca="false">IF($F$3=1,M129+J129+G129,J129+G129)</f>
        <v>8</v>
      </c>
      <c r="R129" s="120" t="n">
        <f aca="false">IF($F$3=1,N129+K129+H129,K129+H129)</f>
        <v>8</v>
      </c>
      <c r="S129" s="120" t="n">
        <f aca="false">IF($F$3=1,O129+L129+I129,L129+I129)</f>
        <v>6.85</v>
      </c>
      <c r="T129" s="121"/>
      <c r="U129" s="67" t="n">
        <f aca="false">A130-A129</f>
        <v>31</v>
      </c>
      <c r="V129" s="122" t="n">
        <f aca="false">CHOOSE(F$3,A130+24,A129)</f>
        <v>40878</v>
      </c>
      <c r="W129" s="67" t="n">
        <f aca="false">V129-C$3</f>
        <v>-5048</v>
      </c>
      <c r="X129" s="118" t="n">
        <f aca="false">VLOOKUP($A129,Table,MATCH(X$4,Curves,0))</f>
        <v>2</v>
      </c>
      <c r="Y129" s="123" t="n">
        <f aca="false">1/(1+CHOOSE(F$3,(X130+($K$3/10000))/2,(X129+($K$3/10000))/2))^(2*W129/365.25)</f>
        <v>209349981.093366</v>
      </c>
      <c r="Z129" s="67" t="n">
        <f aca="false">IF(AND(mthbeg&lt;=A129,mthend&gt;=A129),1,0)</f>
        <v>0</v>
      </c>
      <c r="AA129" s="67" t="n">
        <f aca="false">U129*Z129</f>
        <v>0</v>
      </c>
      <c r="AC129" s="110" t="n">
        <f aca="false">F129*(H129-I129)</f>
        <v>0</v>
      </c>
      <c r="AD129" s="49"/>
      <c r="AE129" s="124"/>
    </row>
    <row r="130" customFormat="false" ht="12.75" hidden="false" customHeight="false" outlineLevel="0" collapsed="false">
      <c r="A130" s="115" t="n">
        <f aca="false">EDATE(A129,1)</f>
        <v>40909</v>
      </c>
      <c r="B130" s="116" t="n">
        <f aca="false">'Inputs-Summary'!$B$7</f>
        <v>3017157.21662952</v>
      </c>
      <c r="C130" s="57"/>
      <c r="D130" s="117" t="n">
        <f aca="false">B130+C130</f>
        <v>3017157.21662952</v>
      </c>
      <c r="E130" s="106" t="n">
        <f aca="false">IF(Z130=0,0,IF(AND(Z130=1,$H$3=1),D130*U130,IF($H$3=2,D130,"N/A")))</f>
        <v>0</v>
      </c>
      <c r="F130" s="106" t="n">
        <f aca="false">E130*Y130</f>
        <v>0</v>
      </c>
      <c r="G130" s="118" t="n">
        <f aca="false">VLOOKUP($A130,Table,MATCH(G$4,Curves,0))</f>
        <v>3</v>
      </c>
      <c r="H130" s="119" t="n">
        <f aca="false">G130+$H$7</f>
        <v>3</v>
      </c>
      <c r="I130" s="118" t="n">
        <f aca="false">'Inputs-Summary'!$B$16</f>
        <v>1.85</v>
      </c>
      <c r="J130" s="118" t="n">
        <f aca="false">VLOOKUP($A130,Table,MATCH(J$4,Curves,0))</f>
        <v>5</v>
      </c>
      <c r="K130" s="119" t="n">
        <f aca="false">J130+$K$7</f>
        <v>5</v>
      </c>
      <c r="L130" s="120" t="n">
        <f aca="false">K130</f>
        <v>5</v>
      </c>
      <c r="M130" s="118" t="n">
        <f aca="false">VLOOKUP($A130,Table,MATCH(M$4,Curves,0))</f>
        <v>5</v>
      </c>
      <c r="N130" s="119" t="n">
        <f aca="false">M130+$N$7</f>
        <v>5</v>
      </c>
      <c r="O130" s="120" t="n">
        <f aca="false">N130</f>
        <v>5</v>
      </c>
      <c r="P130" s="109"/>
      <c r="Q130" s="120" t="n">
        <f aca="false">IF($F$3=1,M130+J130+G130,J130+G130)</f>
        <v>8</v>
      </c>
      <c r="R130" s="120" t="n">
        <f aca="false">IF($F$3=1,N130+K130+H130,K130+H130)</f>
        <v>8</v>
      </c>
      <c r="S130" s="120" t="n">
        <f aca="false">IF($F$3=1,O130+L130+I130,L130+I130)</f>
        <v>6.85</v>
      </c>
      <c r="T130" s="121"/>
      <c r="U130" s="67" t="n">
        <f aca="false">A131-A130</f>
        <v>31</v>
      </c>
      <c r="V130" s="122" t="n">
        <f aca="false">CHOOSE(F$3,A131+24,A130)</f>
        <v>40909</v>
      </c>
      <c r="W130" s="67" t="n">
        <f aca="false">V130-C$3</f>
        <v>-5017</v>
      </c>
      <c r="X130" s="118" t="n">
        <f aca="false">VLOOKUP($A130,Table,MATCH(X$4,Curves,0))</f>
        <v>2</v>
      </c>
      <c r="Y130" s="123" t="n">
        <f aca="false">1/(1+CHOOSE(F$3,(X131+($K$3/10000))/2,(X130+($K$3/10000))/2))^(2*W130/365.25)</f>
        <v>186111865.772654</v>
      </c>
      <c r="Z130" s="67" t="n">
        <f aca="false">IF(AND(mthbeg&lt;=A130,mthend&gt;=A130),1,0)</f>
        <v>0</v>
      </c>
      <c r="AA130" s="67" t="n">
        <f aca="false">U130*Z130</f>
        <v>0</v>
      </c>
      <c r="AC130" s="110" t="n">
        <f aca="false">F130*(H130-I130)</f>
        <v>0</v>
      </c>
      <c r="AD130" s="49"/>
      <c r="AE130" s="124"/>
    </row>
    <row r="131" customFormat="false" ht="12.75" hidden="false" customHeight="false" outlineLevel="0" collapsed="false">
      <c r="A131" s="115" t="n">
        <f aca="false">EDATE(A130,1)</f>
        <v>40940</v>
      </c>
      <c r="B131" s="116" t="n">
        <f aca="false">'Inputs-Summary'!$B$7</f>
        <v>3017157.21662952</v>
      </c>
      <c r="C131" s="57"/>
      <c r="D131" s="117" t="n">
        <f aca="false">B131+C131</f>
        <v>3017157.21662952</v>
      </c>
      <c r="E131" s="106" t="n">
        <f aca="false">IF(Z131=0,0,IF(AND(Z131=1,$H$3=1),D131*U131,IF($H$3=2,D131,"N/A")))</f>
        <v>0</v>
      </c>
      <c r="F131" s="106" t="n">
        <f aca="false">E131*Y131</f>
        <v>0</v>
      </c>
      <c r="G131" s="118" t="n">
        <f aca="false">VLOOKUP($A131,Table,MATCH(G$4,Curves,0))</f>
        <v>3</v>
      </c>
      <c r="H131" s="119" t="n">
        <f aca="false">G131+$H$7</f>
        <v>3</v>
      </c>
      <c r="I131" s="118" t="n">
        <f aca="false">'Inputs-Summary'!$B$16</f>
        <v>1.85</v>
      </c>
      <c r="J131" s="118" t="n">
        <f aca="false">VLOOKUP($A131,Table,MATCH(J$4,Curves,0))</f>
        <v>5</v>
      </c>
      <c r="K131" s="119" t="n">
        <f aca="false">J131+$K$7</f>
        <v>5</v>
      </c>
      <c r="L131" s="120" t="n">
        <f aca="false">K131</f>
        <v>5</v>
      </c>
      <c r="M131" s="118" t="n">
        <f aca="false">VLOOKUP($A131,Table,MATCH(M$4,Curves,0))</f>
        <v>5</v>
      </c>
      <c r="N131" s="119" t="n">
        <f aca="false">M131+$N$7</f>
        <v>5</v>
      </c>
      <c r="O131" s="120" t="n">
        <f aca="false">N131</f>
        <v>5</v>
      </c>
      <c r="P131" s="109"/>
      <c r="Q131" s="120" t="n">
        <f aca="false">IF($F$3=1,M131+J131+G131,J131+G131)</f>
        <v>8</v>
      </c>
      <c r="R131" s="120" t="n">
        <f aca="false">IF($F$3=1,N131+K131+H131,K131+H131)</f>
        <v>8</v>
      </c>
      <c r="S131" s="120" t="n">
        <f aca="false">IF($F$3=1,O131+L131+I131,L131+I131)</f>
        <v>6.85</v>
      </c>
      <c r="T131" s="121"/>
      <c r="U131" s="67" t="n">
        <f aca="false">A132-A131</f>
        <v>29</v>
      </c>
      <c r="V131" s="122" t="n">
        <f aca="false">CHOOSE(F$3,A132+24,A131)</f>
        <v>40940</v>
      </c>
      <c r="W131" s="67" t="n">
        <f aca="false">V131-C$3</f>
        <v>-4986</v>
      </c>
      <c r="X131" s="118" t="n">
        <f aca="false">VLOOKUP($A131,Table,MATCH(X$4,Curves,0))</f>
        <v>2</v>
      </c>
      <c r="Y131" s="123" t="n">
        <f aca="false">1/(1+CHOOSE(F$3,(X132+($K$3/10000))/2,(X131+($K$3/10000))/2))^(2*W131/365.25)</f>
        <v>165453210.93643</v>
      </c>
      <c r="Z131" s="67" t="n">
        <f aca="false">IF(AND(mthbeg&lt;=A131,mthend&gt;=A131),1,0)</f>
        <v>0</v>
      </c>
      <c r="AA131" s="67" t="n">
        <f aca="false">U131*Z131</f>
        <v>0</v>
      </c>
      <c r="AC131" s="110" t="n">
        <f aca="false">F131*(H131-I131)</f>
        <v>0</v>
      </c>
      <c r="AD131" s="49"/>
      <c r="AE131" s="124"/>
    </row>
    <row r="132" customFormat="false" ht="12.75" hidden="false" customHeight="false" outlineLevel="0" collapsed="false">
      <c r="A132" s="115" t="n">
        <f aca="false">EDATE(A131,1)</f>
        <v>40969</v>
      </c>
      <c r="B132" s="116" t="n">
        <f aca="false">'Inputs-Summary'!$B$7</f>
        <v>3017157.21662952</v>
      </c>
      <c r="C132" s="57"/>
      <c r="D132" s="117" t="n">
        <f aca="false">B132+C132</f>
        <v>3017157.21662952</v>
      </c>
      <c r="E132" s="106" t="n">
        <f aca="false">IF(Z132=0,0,IF(AND(Z132=1,$H$3=1),D132*U132,IF($H$3=2,D132,"N/A")))</f>
        <v>0</v>
      </c>
      <c r="F132" s="106" t="n">
        <f aca="false">E132*Y132</f>
        <v>0</v>
      </c>
      <c r="G132" s="118" t="n">
        <f aca="false">VLOOKUP($A132,Table,MATCH(G$4,Curves,0))</f>
        <v>3</v>
      </c>
      <c r="H132" s="119" t="n">
        <f aca="false">G132+$H$7</f>
        <v>3</v>
      </c>
      <c r="I132" s="118" t="n">
        <f aca="false">'Inputs-Summary'!$B$16</f>
        <v>1.85</v>
      </c>
      <c r="J132" s="118" t="n">
        <f aca="false">VLOOKUP($A132,Table,MATCH(J$4,Curves,0))</f>
        <v>5</v>
      </c>
      <c r="K132" s="119" t="n">
        <f aca="false">J132+$K$7</f>
        <v>5</v>
      </c>
      <c r="L132" s="120" t="n">
        <f aca="false">K132</f>
        <v>5</v>
      </c>
      <c r="M132" s="118" t="n">
        <f aca="false">VLOOKUP($A132,Table,MATCH(M$4,Curves,0))</f>
        <v>5</v>
      </c>
      <c r="N132" s="119" t="n">
        <f aca="false">M132+$N$7</f>
        <v>5</v>
      </c>
      <c r="O132" s="120" t="n">
        <f aca="false">N132</f>
        <v>5</v>
      </c>
      <c r="P132" s="109"/>
      <c r="Q132" s="120" t="n">
        <f aca="false">IF($F$3=1,M132+J132+G132,J132+G132)</f>
        <v>8</v>
      </c>
      <c r="R132" s="120" t="n">
        <f aca="false">IF($F$3=1,N132+K132+H132,K132+H132)</f>
        <v>8</v>
      </c>
      <c r="S132" s="120" t="n">
        <f aca="false">IF($F$3=1,O132+L132+I132,L132+I132)</f>
        <v>6.85</v>
      </c>
      <c r="T132" s="121"/>
      <c r="U132" s="67" t="n">
        <f aca="false">A133-A132</f>
        <v>31</v>
      </c>
      <c r="V132" s="122" t="n">
        <f aca="false">CHOOSE(F$3,A133+24,A132)</f>
        <v>40969</v>
      </c>
      <c r="W132" s="67" t="n">
        <f aca="false">V132-C$3</f>
        <v>-4957</v>
      </c>
      <c r="X132" s="118" t="n">
        <f aca="false">VLOOKUP($A132,Table,MATCH(X$4,Curves,0))</f>
        <v>2</v>
      </c>
      <c r="Y132" s="123" t="n">
        <f aca="false">1/(1+CHOOSE(F$3,(X133+($K$3/10000))/2,(X132+($K$3/10000))/2))^(2*W132/365.25)</f>
        <v>148208474.686317</v>
      </c>
      <c r="Z132" s="67" t="n">
        <f aca="false">IF(AND(mthbeg&lt;=A132,mthend&gt;=A132),1,0)</f>
        <v>0</v>
      </c>
      <c r="AA132" s="67" t="n">
        <f aca="false">U132*Z132</f>
        <v>0</v>
      </c>
      <c r="AC132" s="110" t="n">
        <f aca="false">F132*(H132-I132)</f>
        <v>0</v>
      </c>
      <c r="AD132" s="49"/>
      <c r="AE132" s="124"/>
    </row>
    <row r="133" customFormat="false" ht="12.75" hidden="false" customHeight="false" outlineLevel="0" collapsed="false">
      <c r="A133" s="115" t="n">
        <f aca="false">EDATE(A132,1)</f>
        <v>41000</v>
      </c>
      <c r="B133" s="116" t="n">
        <f aca="false">'Inputs-Summary'!$B$7</f>
        <v>3017157.21662952</v>
      </c>
      <c r="C133" s="57"/>
      <c r="D133" s="117" t="n">
        <f aca="false">B133+C133</f>
        <v>3017157.21662952</v>
      </c>
      <c r="E133" s="106" t="n">
        <f aca="false">IF(Z133=0,0,IF(AND(Z133=1,$H$3=1),D133*U133,IF($H$3=2,D133,"N/A")))</f>
        <v>0</v>
      </c>
      <c r="F133" s="106" t="n">
        <f aca="false">E133*Y133</f>
        <v>0</v>
      </c>
      <c r="G133" s="118" t="n">
        <f aca="false">VLOOKUP($A133,Table,MATCH(G$4,Curves,0))</f>
        <v>3</v>
      </c>
      <c r="H133" s="119" t="n">
        <f aca="false">G133+$H$7</f>
        <v>3</v>
      </c>
      <c r="I133" s="118" t="n">
        <f aca="false">'Inputs-Summary'!$B$16</f>
        <v>1.85</v>
      </c>
      <c r="J133" s="118" t="n">
        <f aca="false">VLOOKUP($A133,Table,MATCH(J$4,Curves,0))</f>
        <v>5</v>
      </c>
      <c r="K133" s="119" t="n">
        <f aca="false">J133+$K$7</f>
        <v>5</v>
      </c>
      <c r="L133" s="120" t="n">
        <f aca="false">K133</f>
        <v>5</v>
      </c>
      <c r="M133" s="118" t="n">
        <f aca="false">VLOOKUP($A133,Table,MATCH(M$4,Curves,0))</f>
        <v>5</v>
      </c>
      <c r="N133" s="119" t="n">
        <f aca="false">M133+$N$7</f>
        <v>5</v>
      </c>
      <c r="O133" s="120" t="n">
        <f aca="false">N133</f>
        <v>5</v>
      </c>
      <c r="P133" s="109"/>
      <c r="Q133" s="120" t="n">
        <f aca="false">IF($F$3=1,M133+J133+G133,J133+G133)</f>
        <v>8</v>
      </c>
      <c r="R133" s="120" t="n">
        <f aca="false">IF($F$3=1,N133+K133+H133,K133+H133)</f>
        <v>8</v>
      </c>
      <c r="S133" s="120" t="n">
        <f aca="false">IF($F$3=1,O133+L133+I133,L133+I133)</f>
        <v>6.85</v>
      </c>
      <c r="T133" s="121"/>
      <c r="U133" s="67" t="n">
        <f aca="false">A134-A133</f>
        <v>30</v>
      </c>
      <c r="V133" s="122" t="n">
        <f aca="false">CHOOSE(F$3,A134+24,A133)</f>
        <v>41000</v>
      </c>
      <c r="W133" s="67" t="n">
        <f aca="false">V133-C$3</f>
        <v>-4926</v>
      </c>
      <c r="X133" s="118" t="n">
        <f aca="false">VLOOKUP($A133,Table,MATCH(X$4,Curves,0))</f>
        <v>2</v>
      </c>
      <c r="Y133" s="123" t="n">
        <f aca="false">1/(1+CHOOSE(F$3,(X134+($K$3/10000))/2,(X133+($K$3/10000))/2))^(2*W133/365.25)</f>
        <v>131757144.677687</v>
      </c>
      <c r="Z133" s="67" t="n">
        <f aca="false">IF(AND(mthbeg&lt;=A133,mthend&gt;=A133),1,0)</f>
        <v>0</v>
      </c>
      <c r="AA133" s="67" t="n">
        <f aca="false">U133*Z133</f>
        <v>0</v>
      </c>
      <c r="AC133" s="110" t="n">
        <f aca="false">F133*(H133-I133)</f>
        <v>0</v>
      </c>
      <c r="AD133" s="49"/>
      <c r="AE133" s="124"/>
    </row>
    <row r="134" customFormat="false" ht="12.75" hidden="false" customHeight="false" outlineLevel="0" collapsed="false">
      <c r="A134" s="115" t="n">
        <f aca="false">EDATE(A133,1)</f>
        <v>41030</v>
      </c>
      <c r="B134" s="116" t="n">
        <f aca="false">'Inputs-Summary'!$B$7</f>
        <v>3017157.21662952</v>
      </c>
      <c r="C134" s="57"/>
      <c r="D134" s="117" t="n">
        <f aca="false">B134+C134</f>
        <v>3017157.21662952</v>
      </c>
      <c r="E134" s="106" t="n">
        <f aca="false">IF(Z134=0,0,IF(AND(Z134=1,$H$3=1),D134*U134,IF($H$3=2,D134,"N/A")))</f>
        <v>0</v>
      </c>
      <c r="F134" s="106" t="n">
        <f aca="false">E134*Y134</f>
        <v>0</v>
      </c>
      <c r="G134" s="118" t="n">
        <f aca="false">VLOOKUP($A134,Table,MATCH(G$4,Curves,0))</f>
        <v>3</v>
      </c>
      <c r="H134" s="119" t="n">
        <f aca="false">G134+$H$7</f>
        <v>3</v>
      </c>
      <c r="I134" s="118" t="n">
        <f aca="false">'Inputs-Summary'!$B$16</f>
        <v>1.85</v>
      </c>
      <c r="J134" s="118" t="n">
        <f aca="false">VLOOKUP($A134,Table,MATCH(J$4,Curves,0))</f>
        <v>5</v>
      </c>
      <c r="K134" s="119" t="n">
        <f aca="false">J134+$K$7</f>
        <v>5</v>
      </c>
      <c r="L134" s="120" t="n">
        <f aca="false">K134</f>
        <v>5</v>
      </c>
      <c r="M134" s="118" t="n">
        <f aca="false">VLOOKUP($A134,Table,MATCH(M$4,Curves,0))</f>
        <v>5</v>
      </c>
      <c r="N134" s="119" t="n">
        <f aca="false">M134+$N$7</f>
        <v>5</v>
      </c>
      <c r="O134" s="120" t="n">
        <f aca="false">N134</f>
        <v>5</v>
      </c>
      <c r="P134" s="109"/>
      <c r="Q134" s="120" t="n">
        <f aca="false">IF($F$3=1,M134+J134+G134,J134+G134)</f>
        <v>8</v>
      </c>
      <c r="R134" s="120" t="n">
        <f aca="false">IF($F$3=1,N134+K134+H134,K134+H134)</f>
        <v>8</v>
      </c>
      <c r="S134" s="120" t="n">
        <f aca="false">IF($F$3=1,O134+L134+I134,L134+I134)</f>
        <v>6.85</v>
      </c>
      <c r="T134" s="121"/>
      <c r="U134" s="67" t="n">
        <f aca="false">A135-A134</f>
        <v>31</v>
      </c>
      <c r="V134" s="122" t="n">
        <f aca="false">CHOOSE(F$3,A135+24,A134)</f>
        <v>41030</v>
      </c>
      <c r="W134" s="67" t="n">
        <f aca="false">V134-C$3</f>
        <v>-4896</v>
      </c>
      <c r="X134" s="118" t="n">
        <f aca="false">VLOOKUP($A134,Table,MATCH(X$4,Curves,0))</f>
        <v>2</v>
      </c>
      <c r="Y134" s="123" t="n">
        <f aca="false">1/(1+CHOOSE(F$3,(X135+($K$3/10000))/2,(X134+($K$3/10000))/2))^(2*W134/365.25)</f>
        <v>117577348.459332</v>
      </c>
      <c r="Z134" s="67" t="n">
        <f aca="false">IF(AND(mthbeg&lt;=A134,mthend&gt;=A134),1,0)</f>
        <v>0</v>
      </c>
      <c r="AA134" s="67" t="n">
        <f aca="false">U134*Z134</f>
        <v>0</v>
      </c>
      <c r="AC134" s="110" t="n">
        <f aca="false">F134*(H134-I134)</f>
        <v>0</v>
      </c>
      <c r="AD134" s="49"/>
      <c r="AE134" s="124"/>
    </row>
    <row r="135" customFormat="false" ht="12.75" hidden="false" customHeight="false" outlineLevel="0" collapsed="false">
      <c r="A135" s="115" t="n">
        <f aca="false">EDATE(A134,1)</f>
        <v>41061</v>
      </c>
      <c r="B135" s="116" t="n">
        <f aca="false">'Inputs-Summary'!$B$7</f>
        <v>3017157.21662952</v>
      </c>
      <c r="C135" s="57"/>
      <c r="D135" s="117" t="n">
        <f aca="false">B135+C135</f>
        <v>3017157.21662952</v>
      </c>
      <c r="E135" s="106" t="n">
        <f aca="false">IF(Z135=0,0,IF(AND(Z135=1,$H$3=1),D135*U135,IF($H$3=2,D135,"N/A")))</f>
        <v>0</v>
      </c>
      <c r="F135" s="106" t="n">
        <f aca="false">E135*Y135</f>
        <v>0</v>
      </c>
      <c r="G135" s="118" t="n">
        <f aca="false">VLOOKUP($A135,Table,MATCH(G$4,Curves,0))</f>
        <v>3</v>
      </c>
      <c r="H135" s="119" t="n">
        <f aca="false">G135+$H$7</f>
        <v>3</v>
      </c>
      <c r="I135" s="118" t="n">
        <f aca="false">'Inputs-Summary'!$B$16</f>
        <v>1.85</v>
      </c>
      <c r="J135" s="118" t="n">
        <f aca="false">VLOOKUP($A135,Table,MATCH(J$4,Curves,0))</f>
        <v>5</v>
      </c>
      <c r="K135" s="119" t="n">
        <f aca="false">J135+$K$7</f>
        <v>5</v>
      </c>
      <c r="L135" s="120" t="n">
        <f aca="false">K135</f>
        <v>5</v>
      </c>
      <c r="M135" s="118" t="n">
        <f aca="false">VLOOKUP($A135,Table,MATCH(M$4,Curves,0))</f>
        <v>5</v>
      </c>
      <c r="N135" s="119" t="n">
        <f aca="false">M135+$N$7</f>
        <v>5</v>
      </c>
      <c r="O135" s="120" t="n">
        <f aca="false">N135</f>
        <v>5</v>
      </c>
      <c r="P135" s="109"/>
      <c r="Q135" s="120" t="n">
        <f aca="false">IF($F$3=1,M135+J135+G135,J135+G135)</f>
        <v>8</v>
      </c>
      <c r="R135" s="120" t="n">
        <f aca="false">IF($F$3=1,N135+K135+H135,K135+H135)</f>
        <v>8</v>
      </c>
      <c r="S135" s="120" t="n">
        <f aca="false">IF($F$3=1,O135+L135+I135,L135+I135)</f>
        <v>6.85</v>
      </c>
      <c r="T135" s="121"/>
      <c r="U135" s="67" t="n">
        <f aca="false">A136-A135</f>
        <v>30</v>
      </c>
      <c r="V135" s="122" t="n">
        <f aca="false">CHOOSE(F$3,A136+24,A135)</f>
        <v>41061</v>
      </c>
      <c r="W135" s="67" t="n">
        <f aca="false">V135-C$3</f>
        <v>-4865</v>
      </c>
      <c r="X135" s="118" t="n">
        <f aca="false">VLOOKUP($A135,Table,MATCH(X$4,Curves,0))</f>
        <v>2</v>
      </c>
      <c r="Y135" s="123" t="n">
        <f aca="false">1/(1+CHOOSE(F$3,(X136+($K$3/10000))/2,(X135+($K$3/10000))/2))^(2*W135/365.25)</f>
        <v>104526112.589466</v>
      </c>
      <c r="Z135" s="67" t="n">
        <f aca="false">IF(AND(mthbeg&lt;=A135,mthend&gt;=A135),1,0)</f>
        <v>0</v>
      </c>
      <c r="AA135" s="67" t="n">
        <f aca="false">U135*Z135</f>
        <v>0</v>
      </c>
      <c r="AC135" s="110" t="n">
        <f aca="false">F135*(H135-I135)</f>
        <v>0</v>
      </c>
      <c r="AD135" s="49"/>
      <c r="AE135" s="124"/>
    </row>
    <row r="136" customFormat="false" ht="12.75" hidden="false" customHeight="false" outlineLevel="0" collapsed="false">
      <c r="A136" s="115" t="n">
        <f aca="false">EDATE(A135,1)</f>
        <v>41091</v>
      </c>
      <c r="B136" s="116" t="n">
        <f aca="false">'Inputs-Summary'!$B$7</f>
        <v>3017157.21662952</v>
      </c>
      <c r="C136" s="57"/>
      <c r="D136" s="117" t="n">
        <f aca="false">B136+C136</f>
        <v>3017157.21662952</v>
      </c>
      <c r="E136" s="106" t="n">
        <f aca="false">IF(Z136=0,0,IF(AND(Z136=1,$H$3=1),D136*U136,IF($H$3=2,D136,"N/A")))</f>
        <v>0</v>
      </c>
      <c r="F136" s="106" t="n">
        <f aca="false">E136*Y136</f>
        <v>0</v>
      </c>
      <c r="G136" s="118" t="n">
        <f aca="false">VLOOKUP($A136,Table,MATCH(G$4,Curves,0))</f>
        <v>3</v>
      </c>
      <c r="H136" s="119" t="n">
        <f aca="false">G136+$H$7</f>
        <v>3</v>
      </c>
      <c r="I136" s="118" t="n">
        <f aca="false">'Inputs-Summary'!$B$16</f>
        <v>1.85</v>
      </c>
      <c r="J136" s="118" t="n">
        <f aca="false">VLOOKUP($A136,Table,MATCH(J$4,Curves,0))</f>
        <v>5</v>
      </c>
      <c r="K136" s="119" t="n">
        <f aca="false">J136+$K$7</f>
        <v>5</v>
      </c>
      <c r="L136" s="120" t="n">
        <f aca="false">K136</f>
        <v>5</v>
      </c>
      <c r="M136" s="118" t="n">
        <f aca="false">VLOOKUP($A136,Table,MATCH(M$4,Curves,0))</f>
        <v>5</v>
      </c>
      <c r="N136" s="119" t="n">
        <f aca="false">M136+$N$7</f>
        <v>5</v>
      </c>
      <c r="O136" s="120" t="n">
        <f aca="false">N136</f>
        <v>5</v>
      </c>
      <c r="P136" s="109"/>
      <c r="Q136" s="120" t="n">
        <f aca="false">IF($F$3=1,M136+J136+G136,J136+G136)</f>
        <v>8</v>
      </c>
      <c r="R136" s="120" t="n">
        <f aca="false">IF($F$3=1,N136+K136+H136,K136+H136)</f>
        <v>8</v>
      </c>
      <c r="S136" s="120" t="n">
        <f aca="false">IF($F$3=1,O136+L136+I136,L136+I136)</f>
        <v>6.85</v>
      </c>
      <c r="T136" s="121"/>
      <c r="U136" s="67" t="n">
        <f aca="false">A137-A136</f>
        <v>31</v>
      </c>
      <c r="V136" s="122" t="n">
        <f aca="false">CHOOSE(F$3,A137+24,A136)</f>
        <v>41091</v>
      </c>
      <c r="W136" s="67" t="n">
        <f aca="false">V136-C$3</f>
        <v>-4835</v>
      </c>
      <c r="X136" s="118" t="n">
        <f aca="false">VLOOKUP($A136,Table,MATCH(X$4,Curves,0))</f>
        <v>2</v>
      </c>
      <c r="Y136" s="123" t="n">
        <f aca="false">1/(1+CHOOSE(F$3,(X137+($K$3/10000))/2,(X136+($K$3/10000))/2))^(2*W136/365.25)</f>
        <v>93276939.1223179</v>
      </c>
      <c r="Z136" s="67" t="n">
        <f aca="false">IF(AND(mthbeg&lt;=A136,mthend&gt;=A136),1,0)</f>
        <v>0</v>
      </c>
      <c r="AA136" s="67" t="n">
        <f aca="false">U136*Z136</f>
        <v>0</v>
      </c>
      <c r="AC136" s="110" t="n">
        <f aca="false">F136*(H136-I136)</f>
        <v>0</v>
      </c>
      <c r="AD136" s="49"/>
      <c r="AE136" s="124"/>
    </row>
    <row r="137" customFormat="false" ht="12.75" hidden="false" customHeight="false" outlineLevel="0" collapsed="false">
      <c r="A137" s="115" t="n">
        <f aca="false">EDATE(A136,1)</f>
        <v>41122</v>
      </c>
      <c r="B137" s="116" t="n">
        <f aca="false">'Inputs-Summary'!$B$7</f>
        <v>3017157.21662952</v>
      </c>
      <c r="C137" s="57"/>
      <c r="D137" s="117" t="n">
        <f aca="false">B137+C137</f>
        <v>3017157.21662952</v>
      </c>
      <c r="E137" s="106" t="n">
        <f aca="false">IF(Z137=0,0,IF(AND(Z137=1,$H$3=1),D137*U137,IF($H$3=2,D137,"N/A")))</f>
        <v>0</v>
      </c>
      <c r="F137" s="106" t="n">
        <f aca="false">E137*Y137</f>
        <v>0</v>
      </c>
      <c r="G137" s="118" t="n">
        <f aca="false">VLOOKUP($A137,Table,MATCH(G$4,Curves,0))</f>
        <v>3</v>
      </c>
      <c r="H137" s="119" t="n">
        <f aca="false">G137+$H$7</f>
        <v>3</v>
      </c>
      <c r="I137" s="118" t="n">
        <f aca="false">'Inputs-Summary'!$B$16</f>
        <v>1.85</v>
      </c>
      <c r="J137" s="118" t="n">
        <f aca="false">VLOOKUP($A137,Table,MATCH(J$4,Curves,0))</f>
        <v>5</v>
      </c>
      <c r="K137" s="119" t="n">
        <f aca="false">J137+$K$7</f>
        <v>5</v>
      </c>
      <c r="L137" s="120" t="n">
        <f aca="false">K137</f>
        <v>5</v>
      </c>
      <c r="M137" s="118" t="n">
        <f aca="false">VLOOKUP($A137,Table,MATCH(M$4,Curves,0))</f>
        <v>5</v>
      </c>
      <c r="N137" s="119" t="n">
        <f aca="false">M137+$N$7</f>
        <v>5</v>
      </c>
      <c r="O137" s="120" t="n">
        <f aca="false">N137</f>
        <v>5</v>
      </c>
      <c r="P137" s="109"/>
      <c r="Q137" s="120" t="n">
        <f aca="false">IF($F$3=1,M137+J137+G137,J137+G137)</f>
        <v>8</v>
      </c>
      <c r="R137" s="120" t="n">
        <f aca="false">IF($F$3=1,N137+K137+H137,K137+H137)</f>
        <v>8</v>
      </c>
      <c r="S137" s="120" t="n">
        <f aca="false">IF($F$3=1,O137+L137+I137,L137+I137)</f>
        <v>6.85</v>
      </c>
      <c r="T137" s="121"/>
      <c r="U137" s="67" t="n">
        <f aca="false">A138-A137</f>
        <v>31</v>
      </c>
      <c r="V137" s="122" t="n">
        <f aca="false">CHOOSE(F$3,A138+24,A137)</f>
        <v>41122</v>
      </c>
      <c r="W137" s="67" t="n">
        <f aca="false">V137-C$3</f>
        <v>-4804</v>
      </c>
      <c r="X137" s="118" t="n">
        <f aca="false">VLOOKUP($A137,Table,MATCH(X$4,Curves,0))</f>
        <v>2</v>
      </c>
      <c r="Y137" s="123" t="n">
        <f aca="false">1/(1+CHOOSE(F$3,(X138+($K$3/10000))/2,(X137+($K$3/10000))/2))^(2*W137/365.25)</f>
        <v>82923079.729702</v>
      </c>
      <c r="Z137" s="67" t="n">
        <f aca="false">IF(AND(mthbeg&lt;=A137,mthend&gt;=A137),1,0)</f>
        <v>0</v>
      </c>
      <c r="AA137" s="67" t="n">
        <f aca="false">U137*Z137</f>
        <v>0</v>
      </c>
      <c r="AC137" s="110" t="n">
        <f aca="false">F137*(H137-I137)</f>
        <v>0</v>
      </c>
      <c r="AD137" s="49"/>
      <c r="AE137" s="124"/>
    </row>
    <row r="138" customFormat="false" ht="12.75" hidden="false" customHeight="false" outlineLevel="0" collapsed="false">
      <c r="A138" s="115" t="n">
        <f aca="false">EDATE(A137,1)</f>
        <v>41153</v>
      </c>
      <c r="B138" s="116" t="n">
        <f aca="false">'Inputs-Summary'!$B$7</f>
        <v>3017157.21662952</v>
      </c>
      <c r="C138" s="57"/>
      <c r="D138" s="117" t="n">
        <f aca="false">B138+C138</f>
        <v>3017157.21662952</v>
      </c>
      <c r="E138" s="106" t="n">
        <f aca="false">IF(Z138=0,0,IF(AND(Z138=1,$H$3=1),D138*U138,IF($H$3=2,D138,"N/A")))</f>
        <v>0</v>
      </c>
      <c r="F138" s="106" t="n">
        <f aca="false">E138*Y138</f>
        <v>0</v>
      </c>
      <c r="G138" s="118" t="n">
        <f aca="false">VLOOKUP($A138,Table,MATCH(G$4,Curves,0))</f>
        <v>3</v>
      </c>
      <c r="H138" s="119" t="n">
        <f aca="false">G138+$H$7</f>
        <v>3</v>
      </c>
      <c r="I138" s="118" t="n">
        <f aca="false">'Inputs-Summary'!$B$16</f>
        <v>1.85</v>
      </c>
      <c r="J138" s="118" t="n">
        <f aca="false">VLOOKUP($A138,Table,MATCH(J$4,Curves,0))</f>
        <v>5</v>
      </c>
      <c r="K138" s="119" t="n">
        <f aca="false">J138+$K$7</f>
        <v>5</v>
      </c>
      <c r="L138" s="120" t="n">
        <f aca="false">K138</f>
        <v>5</v>
      </c>
      <c r="M138" s="118" t="n">
        <f aca="false">VLOOKUP($A138,Table,MATCH(M$4,Curves,0))</f>
        <v>5</v>
      </c>
      <c r="N138" s="119" t="n">
        <f aca="false">M138+$N$7</f>
        <v>5</v>
      </c>
      <c r="O138" s="120" t="n">
        <f aca="false">N138</f>
        <v>5</v>
      </c>
      <c r="P138" s="109"/>
      <c r="Q138" s="120" t="n">
        <f aca="false">IF($F$3=1,M138+J138+G138,J138+G138)</f>
        <v>8</v>
      </c>
      <c r="R138" s="120" t="n">
        <f aca="false">IF($F$3=1,N138+K138+H138,K138+H138)</f>
        <v>8</v>
      </c>
      <c r="S138" s="120" t="n">
        <f aca="false">IF($F$3=1,O138+L138+I138,L138+I138)</f>
        <v>6.85</v>
      </c>
      <c r="T138" s="121"/>
      <c r="U138" s="67" t="n">
        <f aca="false">A139-A138</f>
        <v>30</v>
      </c>
      <c r="V138" s="122" t="n">
        <f aca="false">CHOOSE(F$3,A139+24,A138)</f>
        <v>41153</v>
      </c>
      <c r="W138" s="67" t="n">
        <f aca="false">V138-C$3</f>
        <v>-4773</v>
      </c>
      <c r="X138" s="118" t="n">
        <f aca="false">VLOOKUP($A138,Table,MATCH(X$4,Curves,0))</f>
        <v>2</v>
      </c>
      <c r="Y138" s="123" t="n">
        <f aca="false">1/(1+CHOOSE(F$3,(X139+($K$3/10000))/2,(X138+($K$3/10000))/2))^(2*W138/365.25)</f>
        <v>73718511.9554731</v>
      </c>
      <c r="Z138" s="67" t="n">
        <f aca="false">IF(AND(mthbeg&lt;=A138,mthend&gt;=A138),1,0)</f>
        <v>0</v>
      </c>
      <c r="AA138" s="67" t="n">
        <f aca="false">U138*Z138</f>
        <v>0</v>
      </c>
      <c r="AC138" s="110" t="n">
        <f aca="false">F138*(H138-I138)</f>
        <v>0</v>
      </c>
      <c r="AD138" s="49"/>
      <c r="AE138" s="124"/>
    </row>
    <row r="139" customFormat="false" ht="12.75" hidden="false" customHeight="false" outlineLevel="0" collapsed="false">
      <c r="A139" s="115" t="n">
        <f aca="false">EDATE(A138,1)</f>
        <v>41183</v>
      </c>
      <c r="B139" s="116" t="n">
        <f aca="false">'Inputs-Summary'!$B$7</f>
        <v>3017157.21662952</v>
      </c>
      <c r="C139" s="57"/>
      <c r="D139" s="117" t="n">
        <f aca="false">B139+C139</f>
        <v>3017157.21662952</v>
      </c>
      <c r="E139" s="106" t="n">
        <f aca="false">IF(Z139=0,0,IF(AND(Z139=1,$H$3=1),D139*U139,IF($H$3=2,D139,"N/A")))</f>
        <v>0</v>
      </c>
      <c r="F139" s="106" t="n">
        <f aca="false">E139*Y139</f>
        <v>0</v>
      </c>
      <c r="G139" s="118" t="n">
        <f aca="false">VLOOKUP($A139,Table,MATCH(G$4,Curves,0))</f>
        <v>3</v>
      </c>
      <c r="H139" s="119" t="n">
        <f aca="false">G139+$H$7</f>
        <v>3</v>
      </c>
      <c r="I139" s="118" t="n">
        <f aca="false">'Inputs-Summary'!$B$16</f>
        <v>1.85</v>
      </c>
      <c r="J139" s="118" t="n">
        <f aca="false">VLOOKUP($A139,Table,MATCH(J$4,Curves,0))</f>
        <v>5</v>
      </c>
      <c r="K139" s="119" t="n">
        <f aca="false">J139+$K$7</f>
        <v>5</v>
      </c>
      <c r="L139" s="120" t="n">
        <f aca="false">K139</f>
        <v>5</v>
      </c>
      <c r="M139" s="118" t="n">
        <f aca="false">VLOOKUP($A139,Table,MATCH(M$4,Curves,0))</f>
        <v>5</v>
      </c>
      <c r="N139" s="119" t="n">
        <f aca="false">M139+$N$7</f>
        <v>5</v>
      </c>
      <c r="O139" s="120" t="n">
        <f aca="false">N139</f>
        <v>5</v>
      </c>
      <c r="P139" s="109"/>
      <c r="Q139" s="120" t="n">
        <f aca="false">IF($F$3=1,M139+J139+G139,J139+G139)</f>
        <v>8</v>
      </c>
      <c r="R139" s="120" t="n">
        <f aca="false">IF($F$3=1,N139+K139+H139,K139+H139)</f>
        <v>8</v>
      </c>
      <c r="S139" s="120" t="n">
        <f aca="false">IF($F$3=1,O139+L139+I139,L139+I139)</f>
        <v>6.85</v>
      </c>
      <c r="T139" s="121"/>
      <c r="U139" s="67" t="n">
        <f aca="false">A140-A139</f>
        <v>31</v>
      </c>
      <c r="V139" s="122" t="n">
        <f aca="false">CHOOSE(F$3,A140+24,A139)</f>
        <v>41183</v>
      </c>
      <c r="W139" s="67" t="n">
        <f aca="false">V139-C$3</f>
        <v>-4743</v>
      </c>
      <c r="X139" s="118" t="n">
        <f aca="false">VLOOKUP($A139,Table,MATCH(X$4,Curves,0))</f>
        <v>2</v>
      </c>
      <c r="Y139" s="123" t="n">
        <f aca="false">1/(1+CHOOSE(F$3,(X140+($K$3/10000))/2,(X139+($K$3/10000))/2))^(2*W139/365.25)</f>
        <v>65784874.0521469</v>
      </c>
      <c r="Z139" s="67" t="n">
        <f aca="false">IF(AND(mthbeg&lt;=A139,mthend&gt;=A139),1,0)</f>
        <v>0</v>
      </c>
      <c r="AA139" s="67" t="n">
        <f aca="false">U139*Z139</f>
        <v>0</v>
      </c>
      <c r="AC139" s="110" t="n">
        <f aca="false">F139*(H139-I139)</f>
        <v>0</v>
      </c>
      <c r="AD139" s="49"/>
      <c r="AE139" s="124"/>
    </row>
    <row r="140" customFormat="false" ht="12.75" hidden="false" customHeight="false" outlineLevel="0" collapsed="false">
      <c r="A140" s="115" t="n">
        <f aca="false">EDATE(A139,1)</f>
        <v>41214</v>
      </c>
      <c r="B140" s="116" t="n">
        <f aca="false">'Inputs-Summary'!$B$7</f>
        <v>3017157.21662952</v>
      </c>
      <c r="C140" s="57"/>
      <c r="D140" s="117" t="n">
        <f aca="false">B140+C140</f>
        <v>3017157.21662952</v>
      </c>
      <c r="E140" s="106" t="n">
        <f aca="false">IF(Z140=0,0,IF(AND(Z140=1,$H$3=1),D140*U140,IF($H$3=2,D140,"N/A")))</f>
        <v>0</v>
      </c>
      <c r="F140" s="106" t="n">
        <f aca="false">E140*Y140</f>
        <v>0</v>
      </c>
      <c r="G140" s="118" t="n">
        <f aca="false">VLOOKUP($A140,Table,MATCH(G$4,Curves,0))</f>
        <v>3</v>
      </c>
      <c r="H140" s="119" t="n">
        <f aca="false">G140+$H$7</f>
        <v>3</v>
      </c>
      <c r="I140" s="118" t="n">
        <f aca="false">'Inputs-Summary'!$B$16</f>
        <v>1.85</v>
      </c>
      <c r="J140" s="118" t="n">
        <f aca="false">VLOOKUP($A140,Table,MATCH(J$4,Curves,0))</f>
        <v>5</v>
      </c>
      <c r="K140" s="119" t="n">
        <f aca="false">J140+$K$7</f>
        <v>5</v>
      </c>
      <c r="L140" s="120" t="n">
        <f aca="false">K140</f>
        <v>5</v>
      </c>
      <c r="M140" s="118" t="n">
        <f aca="false">VLOOKUP($A140,Table,MATCH(M$4,Curves,0))</f>
        <v>5</v>
      </c>
      <c r="N140" s="119" t="n">
        <f aca="false">M140+$N$7</f>
        <v>5</v>
      </c>
      <c r="O140" s="120" t="n">
        <f aca="false">N140</f>
        <v>5</v>
      </c>
      <c r="P140" s="109"/>
      <c r="Q140" s="120" t="n">
        <f aca="false">IF($F$3=1,M140+J140+G140,J140+G140)</f>
        <v>8</v>
      </c>
      <c r="R140" s="120" t="n">
        <f aca="false">IF($F$3=1,N140+K140+H140,K140+H140)</f>
        <v>8</v>
      </c>
      <c r="S140" s="120" t="n">
        <f aca="false">IF($F$3=1,O140+L140+I140,L140+I140)</f>
        <v>6.85</v>
      </c>
      <c r="T140" s="121"/>
      <c r="U140" s="67" t="n">
        <f aca="false">A141-A140</f>
        <v>30</v>
      </c>
      <c r="V140" s="122" t="n">
        <f aca="false">CHOOSE(F$3,A141+24,A140)</f>
        <v>41214</v>
      </c>
      <c r="W140" s="67" t="n">
        <f aca="false">V140-C$3</f>
        <v>-4712</v>
      </c>
      <c r="X140" s="118" t="n">
        <f aca="false">VLOOKUP($A140,Table,MATCH(X$4,Curves,0))</f>
        <v>2</v>
      </c>
      <c r="Y140" s="123" t="n">
        <f aca="false">1/(1+CHOOSE(F$3,(X141+($K$3/10000))/2,(X140+($K$3/10000))/2))^(2*W140/365.25)</f>
        <v>58482669.0001171</v>
      </c>
      <c r="Z140" s="67" t="n">
        <f aca="false">IF(AND(mthbeg&lt;=A140,mthend&gt;=A140),1,0)</f>
        <v>0</v>
      </c>
      <c r="AA140" s="67" t="n">
        <f aca="false">U140*Z140</f>
        <v>0</v>
      </c>
      <c r="AC140" s="110" t="n">
        <f aca="false">F140*(H140-I140)</f>
        <v>0</v>
      </c>
      <c r="AD140" s="49"/>
      <c r="AE140" s="124"/>
    </row>
    <row r="141" customFormat="false" ht="12.75" hidden="false" customHeight="false" outlineLevel="0" collapsed="false">
      <c r="A141" s="115" t="n">
        <f aca="false">EDATE(A140,1)</f>
        <v>41244</v>
      </c>
      <c r="B141" s="116" t="n">
        <f aca="false">'Inputs-Summary'!$B$7</f>
        <v>3017157.21662952</v>
      </c>
      <c r="C141" s="57"/>
      <c r="D141" s="117" t="n">
        <f aca="false">B141+C141</f>
        <v>3017157.21662952</v>
      </c>
      <c r="E141" s="106" t="n">
        <f aca="false">IF(Z141=0,0,IF(AND(Z141=1,$H$3=1),D141*U141,IF($H$3=2,D141,"N/A")))</f>
        <v>0</v>
      </c>
      <c r="F141" s="106" t="n">
        <f aca="false">E141*Y141</f>
        <v>0</v>
      </c>
      <c r="G141" s="118" t="n">
        <f aca="false">VLOOKUP($A141,Table,MATCH(G$4,Curves,0))</f>
        <v>3</v>
      </c>
      <c r="H141" s="119" t="n">
        <f aca="false">G141+$H$7</f>
        <v>3</v>
      </c>
      <c r="I141" s="118" t="n">
        <f aca="false">'Inputs-Summary'!$B$16</f>
        <v>1.85</v>
      </c>
      <c r="J141" s="118" t="n">
        <f aca="false">VLOOKUP($A141,Table,MATCH(J$4,Curves,0))</f>
        <v>5</v>
      </c>
      <c r="K141" s="119" t="n">
        <f aca="false">J141+$K$7</f>
        <v>5</v>
      </c>
      <c r="L141" s="120" t="n">
        <f aca="false">K141</f>
        <v>5</v>
      </c>
      <c r="M141" s="118" t="n">
        <f aca="false">VLOOKUP($A141,Table,MATCH(M$4,Curves,0))</f>
        <v>5</v>
      </c>
      <c r="N141" s="119" t="n">
        <f aca="false">M141+$N$7</f>
        <v>5</v>
      </c>
      <c r="O141" s="120" t="n">
        <f aca="false">N141</f>
        <v>5</v>
      </c>
      <c r="P141" s="109"/>
      <c r="Q141" s="120" t="n">
        <f aca="false">IF($F$3=1,M141+J141+G141,J141+G141)</f>
        <v>8</v>
      </c>
      <c r="R141" s="120" t="n">
        <f aca="false">IF($F$3=1,N141+K141+H141,K141+H141)</f>
        <v>8</v>
      </c>
      <c r="S141" s="120" t="n">
        <f aca="false">IF($F$3=1,O141+L141+I141,L141+I141)</f>
        <v>6.85</v>
      </c>
      <c r="T141" s="121"/>
      <c r="U141" s="67" t="n">
        <f aca="false">A142-A141</f>
        <v>31</v>
      </c>
      <c r="V141" s="122" t="n">
        <f aca="false">CHOOSE(F$3,A142+24,A141)</f>
        <v>41244</v>
      </c>
      <c r="W141" s="67" t="n">
        <f aca="false">V141-C$3</f>
        <v>-4682</v>
      </c>
      <c r="X141" s="118" t="n">
        <f aca="false">VLOOKUP($A141,Table,MATCH(X$4,Curves,0))</f>
        <v>2</v>
      </c>
      <c r="Y141" s="123" t="n">
        <f aca="false">1/(1+CHOOSE(F$3,(X142+($K$3/10000))/2,(X141+($K$3/10000))/2))^(2*W141/365.25)</f>
        <v>52188723.1897721</v>
      </c>
      <c r="Z141" s="67" t="n">
        <f aca="false">IF(AND(mthbeg&lt;=A141,mthend&gt;=A141),1,0)</f>
        <v>0</v>
      </c>
      <c r="AA141" s="67" t="n">
        <f aca="false">U141*Z141</f>
        <v>0</v>
      </c>
      <c r="AC141" s="110" t="n">
        <f aca="false">F141*(H141-I141)</f>
        <v>0</v>
      </c>
      <c r="AD141" s="49"/>
      <c r="AE141" s="124"/>
    </row>
    <row r="142" customFormat="false" ht="12.75" hidden="false" customHeight="false" outlineLevel="0" collapsed="false">
      <c r="A142" s="115" t="n">
        <f aca="false">EDATE(A141,1)</f>
        <v>41275</v>
      </c>
      <c r="B142" s="116" t="n">
        <f aca="false">'Inputs-Summary'!$B$7</f>
        <v>3017157.21662952</v>
      </c>
      <c r="C142" s="57"/>
      <c r="D142" s="117" t="n">
        <f aca="false">B142+C142</f>
        <v>3017157.21662952</v>
      </c>
      <c r="E142" s="106" t="n">
        <f aca="false">IF(Z142=0,0,IF(AND(Z142=1,$H$3=1),D142*U142,IF($H$3=2,D142,"N/A")))</f>
        <v>0</v>
      </c>
      <c r="F142" s="106" t="n">
        <f aca="false">E142*Y142</f>
        <v>0</v>
      </c>
      <c r="G142" s="118" t="n">
        <f aca="false">VLOOKUP($A142,Table,MATCH(G$4,Curves,0))</f>
        <v>3</v>
      </c>
      <c r="H142" s="119" t="n">
        <f aca="false">G142+$H$7</f>
        <v>3</v>
      </c>
      <c r="I142" s="118" t="n">
        <f aca="false">'Inputs-Summary'!$B$16</f>
        <v>1.85</v>
      </c>
      <c r="J142" s="118" t="n">
        <f aca="false">VLOOKUP($A142,Table,MATCH(J$4,Curves,0))</f>
        <v>5</v>
      </c>
      <c r="K142" s="119" t="n">
        <f aca="false">J142+$K$7</f>
        <v>5</v>
      </c>
      <c r="L142" s="120" t="n">
        <f aca="false">K142</f>
        <v>5</v>
      </c>
      <c r="M142" s="118" t="n">
        <f aca="false">VLOOKUP($A142,Table,MATCH(M$4,Curves,0))</f>
        <v>5</v>
      </c>
      <c r="N142" s="119" t="n">
        <f aca="false">M142+$N$7</f>
        <v>5</v>
      </c>
      <c r="O142" s="120" t="n">
        <f aca="false">N142</f>
        <v>5</v>
      </c>
      <c r="P142" s="109"/>
      <c r="Q142" s="120" t="n">
        <f aca="false">IF($F$3=1,M142+J142+G142,J142+G142)</f>
        <v>8</v>
      </c>
      <c r="R142" s="120" t="n">
        <f aca="false">IF($F$3=1,N142+K142+H142,K142+H142)</f>
        <v>8</v>
      </c>
      <c r="S142" s="120" t="n">
        <f aca="false">IF($F$3=1,O142+L142+I142,L142+I142)</f>
        <v>6.85</v>
      </c>
      <c r="T142" s="121"/>
      <c r="U142" s="67" t="n">
        <f aca="false">A143-A142</f>
        <v>31</v>
      </c>
      <c r="V142" s="122" t="n">
        <f aca="false">CHOOSE(F$3,A143+24,A142)</f>
        <v>41275</v>
      </c>
      <c r="W142" s="67" t="n">
        <f aca="false">V142-C$3</f>
        <v>-4651</v>
      </c>
      <c r="X142" s="118" t="n">
        <f aca="false">VLOOKUP($A142,Table,MATCH(X$4,Curves,0))</f>
        <v>2</v>
      </c>
      <c r="Y142" s="123" t="n">
        <f aca="false">1/(1+CHOOSE(F$3,(X143+($K$3/10000))/2,(X142+($K$3/10000))/2))^(2*W142/365.25)</f>
        <v>46395708.2509086</v>
      </c>
      <c r="Z142" s="67" t="n">
        <f aca="false">IF(AND(mthbeg&lt;=A142,mthend&gt;=A142),1,0)</f>
        <v>0</v>
      </c>
      <c r="AA142" s="67" t="n">
        <f aca="false">U142*Z142</f>
        <v>0</v>
      </c>
      <c r="AC142" s="110" t="n">
        <f aca="false">F142*(H142-I142)</f>
        <v>0</v>
      </c>
      <c r="AD142" s="49"/>
      <c r="AE142" s="124"/>
    </row>
    <row r="143" customFormat="false" ht="12.75" hidden="false" customHeight="false" outlineLevel="0" collapsed="false">
      <c r="A143" s="115" t="n">
        <f aca="false">EDATE(A142,1)</f>
        <v>41306</v>
      </c>
      <c r="B143" s="116" t="n">
        <f aca="false">'Inputs-Summary'!$B$7</f>
        <v>3017157.21662952</v>
      </c>
      <c r="C143" s="57"/>
      <c r="D143" s="117" t="n">
        <f aca="false">B143+C143</f>
        <v>3017157.21662952</v>
      </c>
      <c r="E143" s="106" t="n">
        <f aca="false">IF(Z143=0,0,IF(AND(Z143=1,$H$3=1),D143*U143,IF($H$3=2,D143,"N/A")))</f>
        <v>0</v>
      </c>
      <c r="F143" s="106" t="n">
        <f aca="false">E143*Y143</f>
        <v>0</v>
      </c>
      <c r="G143" s="118" t="n">
        <f aca="false">VLOOKUP($A143,Table,MATCH(G$4,Curves,0))</f>
        <v>3</v>
      </c>
      <c r="H143" s="119" t="n">
        <f aca="false">G143+$H$7</f>
        <v>3</v>
      </c>
      <c r="I143" s="118" t="n">
        <f aca="false">'Inputs-Summary'!$B$16</f>
        <v>1.85</v>
      </c>
      <c r="J143" s="118" t="n">
        <f aca="false">VLOOKUP($A143,Table,MATCH(J$4,Curves,0))</f>
        <v>5</v>
      </c>
      <c r="K143" s="119" t="n">
        <f aca="false">J143+$K$7</f>
        <v>5</v>
      </c>
      <c r="L143" s="120" t="n">
        <f aca="false">K143</f>
        <v>5</v>
      </c>
      <c r="M143" s="118" t="n">
        <f aca="false">VLOOKUP($A143,Table,MATCH(M$4,Curves,0))</f>
        <v>5</v>
      </c>
      <c r="N143" s="119" t="n">
        <f aca="false">M143+$N$7</f>
        <v>5</v>
      </c>
      <c r="O143" s="120" t="n">
        <f aca="false">N143</f>
        <v>5</v>
      </c>
      <c r="P143" s="109"/>
      <c r="Q143" s="120" t="n">
        <f aca="false">IF($F$3=1,M143+J143+G143,J143+G143)</f>
        <v>8</v>
      </c>
      <c r="R143" s="120" t="n">
        <f aca="false">IF($F$3=1,N143+K143+H143,K143+H143)</f>
        <v>8</v>
      </c>
      <c r="S143" s="120" t="n">
        <f aca="false">IF($F$3=1,O143+L143+I143,L143+I143)</f>
        <v>6.85</v>
      </c>
      <c r="T143" s="121"/>
      <c r="U143" s="67" t="n">
        <f aca="false">A144-A143</f>
        <v>28</v>
      </c>
      <c r="V143" s="122" t="n">
        <f aca="false">CHOOSE(F$3,A144+24,A143)</f>
        <v>41306</v>
      </c>
      <c r="W143" s="67" t="n">
        <f aca="false">V143-C$3</f>
        <v>-4620</v>
      </c>
      <c r="X143" s="118" t="n">
        <f aca="false">VLOOKUP($A143,Table,MATCH(X$4,Curves,0))</f>
        <v>2</v>
      </c>
      <c r="Y143" s="123" t="n">
        <f aca="false">1/(1+CHOOSE(F$3,(X144+($K$3/10000))/2,(X143+($K$3/10000))/2))^(2*W143/365.25)</f>
        <v>41245725.3701369</v>
      </c>
      <c r="Z143" s="67" t="n">
        <f aca="false">IF(AND(mthbeg&lt;=A143,mthend&gt;=A143),1,0)</f>
        <v>0</v>
      </c>
      <c r="AA143" s="67" t="n">
        <f aca="false">U143*Z143</f>
        <v>0</v>
      </c>
      <c r="AC143" s="110" t="n">
        <f aca="false">F143*(H143-I143)</f>
        <v>0</v>
      </c>
      <c r="AD143" s="49"/>
      <c r="AE143" s="124"/>
    </row>
    <row r="144" customFormat="false" ht="12.75" hidden="false" customHeight="false" outlineLevel="0" collapsed="false">
      <c r="A144" s="115" t="n">
        <f aca="false">EDATE(A143,1)</f>
        <v>41334</v>
      </c>
      <c r="B144" s="116" t="n">
        <f aca="false">'Inputs-Summary'!$B$7</f>
        <v>3017157.21662952</v>
      </c>
      <c r="C144" s="57"/>
      <c r="D144" s="117" t="n">
        <f aca="false">B144+C144</f>
        <v>3017157.21662952</v>
      </c>
      <c r="E144" s="106" t="n">
        <f aca="false">IF(Z144=0,0,IF(AND(Z144=1,$H$3=1),D144*U144,IF($H$3=2,D144,"N/A")))</f>
        <v>0</v>
      </c>
      <c r="F144" s="106" t="n">
        <f aca="false">E144*Y144</f>
        <v>0</v>
      </c>
      <c r="G144" s="118" t="n">
        <f aca="false">VLOOKUP($A144,Table,MATCH(G$4,Curves,0))</f>
        <v>3</v>
      </c>
      <c r="H144" s="119" t="n">
        <f aca="false">G144+$H$7</f>
        <v>3</v>
      </c>
      <c r="I144" s="118" t="n">
        <f aca="false">'Inputs-Summary'!$B$16</f>
        <v>1.85</v>
      </c>
      <c r="J144" s="118" t="n">
        <f aca="false">VLOOKUP($A144,Table,MATCH(J$4,Curves,0))</f>
        <v>5</v>
      </c>
      <c r="K144" s="119" t="n">
        <f aca="false">J144+$K$7</f>
        <v>5</v>
      </c>
      <c r="L144" s="120" t="n">
        <f aca="false">K144</f>
        <v>5</v>
      </c>
      <c r="M144" s="118" t="n">
        <f aca="false">VLOOKUP($A144,Table,MATCH(M$4,Curves,0))</f>
        <v>5</v>
      </c>
      <c r="N144" s="119" t="n">
        <f aca="false">M144+$N$7</f>
        <v>5</v>
      </c>
      <c r="O144" s="120" t="n">
        <f aca="false">N144</f>
        <v>5</v>
      </c>
      <c r="P144" s="109"/>
      <c r="Q144" s="120" t="n">
        <f aca="false">IF($F$3=1,M144+J144+G144,J144+G144)</f>
        <v>8</v>
      </c>
      <c r="R144" s="120" t="n">
        <f aca="false">IF($F$3=1,N144+K144+H144,K144+H144)</f>
        <v>8</v>
      </c>
      <c r="S144" s="120" t="n">
        <f aca="false">IF($F$3=1,O144+L144+I144,L144+I144)</f>
        <v>6.85</v>
      </c>
      <c r="T144" s="121"/>
      <c r="U144" s="67" t="n">
        <f aca="false">A145-A144</f>
        <v>31</v>
      </c>
      <c r="V144" s="122" t="n">
        <f aca="false">CHOOSE(F$3,A145+24,A144)</f>
        <v>41334</v>
      </c>
      <c r="W144" s="67" t="n">
        <f aca="false">V144-C$3</f>
        <v>-4592</v>
      </c>
      <c r="X144" s="118" t="n">
        <f aca="false">VLOOKUP($A144,Table,MATCH(X$4,Curves,0))</f>
        <v>2</v>
      </c>
      <c r="Y144" s="123" t="n">
        <f aca="false">1/(1+CHOOSE(F$3,(X145+($K$3/10000))/2,(X144+($K$3/10000))/2))^(2*W144/365.25)</f>
        <v>37087292.8811825</v>
      </c>
      <c r="Z144" s="67" t="n">
        <f aca="false">IF(AND(mthbeg&lt;=A144,mthend&gt;=A144),1,0)</f>
        <v>0</v>
      </c>
      <c r="AA144" s="67" t="n">
        <f aca="false">U144*Z144</f>
        <v>0</v>
      </c>
      <c r="AC144" s="110" t="n">
        <f aca="false">F144*(H144-I144)</f>
        <v>0</v>
      </c>
      <c r="AD144" s="49"/>
      <c r="AE144" s="124"/>
    </row>
    <row r="145" customFormat="false" ht="12.75" hidden="false" customHeight="false" outlineLevel="0" collapsed="false">
      <c r="A145" s="115" t="n">
        <f aca="false">EDATE(A144,1)</f>
        <v>41365</v>
      </c>
      <c r="B145" s="116" t="n">
        <f aca="false">'Inputs-Summary'!$B$7</f>
        <v>3017157.21662952</v>
      </c>
      <c r="C145" s="57"/>
      <c r="D145" s="117" t="n">
        <f aca="false">B145+C145</f>
        <v>3017157.21662952</v>
      </c>
      <c r="E145" s="106" t="n">
        <f aca="false">IF(Z145=0,0,IF(AND(Z145=1,$H$3=1),D145*U145,IF($H$3=2,D145,"N/A")))</f>
        <v>0</v>
      </c>
      <c r="F145" s="106" t="n">
        <f aca="false">E145*Y145</f>
        <v>0</v>
      </c>
      <c r="G145" s="118" t="n">
        <f aca="false">VLOOKUP($A145,Table,MATCH(G$4,Curves,0))</f>
        <v>3</v>
      </c>
      <c r="H145" s="119" t="n">
        <f aca="false">G145+$H$7</f>
        <v>3</v>
      </c>
      <c r="I145" s="118" t="n">
        <f aca="false">'Inputs-Summary'!$B$16</f>
        <v>1.85</v>
      </c>
      <c r="J145" s="118" t="n">
        <f aca="false">VLOOKUP($A145,Table,MATCH(J$4,Curves,0))</f>
        <v>5</v>
      </c>
      <c r="K145" s="119" t="n">
        <f aca="false">J145+$K$7</f>
        <v>5</v>
      </c>
      <c r="L145" s="120" t="n">
        <f aca="false">K145</f>
        <v>5</v>
      </c>
      <c r="M145" s="118" t="n">
        <f aca="false">VLOOKUP($A145,Table,MATCH(M$4,Curves,0))</f>
        <v>5</v>
      </c>
      <c r="N145" s="119" t="n">
        <f aca="false">M145+$N$7</f>
        <v>5</v>
      </c>
      <c r="O145" s="120" t="n">
        <f aca="false">N145</f>
        <v>5</v>
      </c>
      <c r="P145" s="109"/>
      <c r="Q145" s="120" t="n">
        <f aca="false">IF($F$3=1,M145+J145+G145,J145+G145)</f>
        <v>8</v>
      </c>
      <c r="R145" s="120" t="n">
        <f aca="false">IF($F$3=1,N145+K145+H145,K145+H145)</f>
        <v>8</v>
      </c>
      <c r="S145" s="120" t="n">
        <f aca="false">IF($F$3=1,O145+L145+I145,L145+I145)</f>
        <v>6.85</v>
      </c>
      <c r="T145" s="121"/>
      <c r="U145" s="67" t="n">
        <f aca="false">A146-A145</f>
        <v>30</v>
      </c>
      <c r="V145" s="122" t="n">
        <f aca="false">CHOOSE(F$3,A146+24,A145)</f>
        <v>41365</v>
      </c>
      <c r="W145" s="67" t="n">
        <f aca="false">V145-C$3</f>
        <v>-4561</v>
      </c>
      <c r="X145" s="118" t="n">
        <f aca="false">VLOOKUP($A145,Table,MATCH(X$4,Curves,0))</f>
        <v>2</v>
      </c>
      <c r="Y145" s="123" t="n">
        <f aca="false">1/(1+CHOOSE(F$3,(X146+($K$3/10000))/2,(X145+($K$3/10000))/2))^(2*W145/365.25)</f>
        <v>32970555.9968281</v>
      </c>
      <c r="Z145" s="67" t="n">
        <f aca="false">IF(AND(mthbeg&lt;=A145,mthend&gt;=A145),1,0)</f>
        <v>0</v>
      </c>
      <c r="AA145" s="67" t="n">
        <f aca="false">U145*Z145</f>
        <v>0</v>
      </c>
      <c r="AC145" s="110" t="n">
        <f aca="false">F145*(H145-I145)</f>
        <v>0</v>
      </c>
      <c r="AD145" s="49"/>
      <c r="AE145" s="124"/>
    </row>
    <row r="146" customFormat="false" ht="12.75" hidden="false" customHeight="false" outlineLevel="0" collapsed="false">
      <c r="A146" s="115" t="n">
        <f aca="false">EDATE(A145,1)</f>
        <v>41395</v>
      </c>
      <c r="B146" s="116" t="n">
        <f aca="false">'Inputs-Summary'!$B$7</f>
        <v>3017157.21662952</v>
      </c>
      <c r="C146" s="57"/>
      <c r="D146" s="117" t="n">
        <f aca="false">B146+C146</f>
        <v>3017157.21662952</v>
      </c>
      <c r="E146" s="106" t="n">
        <f aca="false">IF(Z146=0,0,IF(AND(Z146=1,$H$3=1),D146*U146,IF($H$3=2,D146,"N/A")))</f>
        <v>0</v>
      </c>
      <c r="F146" s="106" t="n">
        <f aca="false">E146*Y146</f>
        <v>0</v>
      </c>
      <c r="G146" s="118" t="n">
        <f aca="false">VLOOKUP($A146,Table,MATCH(G$4,Curves,0))</f>
        <v>3</v>
      </c>
      <c r="H146" s="119" t="n">
        <f aca="false">G146+$H$7</f>
        <v>3</v>
      </c>
      <c r="I146" s="118" t="n">
        <f aca="false">'Inputs-Summary'!$B$16</f>
        <v>1.85</v>
      </c>
      <c r="J146" s="118" t="n">
        <f aca="false">VLOOKUP($A146,Table,MATCH(J$4,Curves,0))</f>
        <v>5</v>
      </c>
      <c r="K146" s="119" t="n">
        <f aca="false">J146+$K$7</f>
        <v>5</v>
      </c>
      <c r="L146" s="120" t="n">
        <f aca="false">K146</f>
        <v>5</v>
      </c>
      <c r="M146" s="118" t="n">
        <f aca="false">VLOOKUP($A146,Table,MATCH(M$4,Curves,0))</f>
        <v>5</v>
      </c>
      <c r="N146" s="119" t="n">
        <f aca="false">M146+$N$7</f>
        <v>5</v>
      </c>
      <c r="O146" s="120" t="n">
        <f aca="false">N146</f>
        <v>5</v>
      </c>
      <c r="P146" s="109"/>
      <c r="Q146" s="120" t="n">
        <f aca="false">IF($F$3=1,M146+J146+G146,J146+G146)</f>
        <v>8</v>
      </c>
      <c r="R146" s="120" t="n">
        <f aca="false">IF($F$3=1,N146+K146+H146,K146+H146)</f>
        <v>8</v>
      </c>
      <c r="S146" s="120" t="n">
        <f aca="false">IF($F$3=1,O146+L146+I146,L146+I146)</f>
        <v>6.85</v>
      </c>
      <c r="T146" s="121"/>
      <c r="U146" s="67" t="n">
        <f aca="false">A147-A146</f>
        <v>31</v>
      </c>
      <c r="V146" s="122" t="n">
        <f aca="false">CHOOSE(F$3,A147+24,A146)</f>
        <v>41395</v>
      </c>
      <c r="W146" s="67" t="n">
        <f aca="false">V146-C$3</f>
        <v>-4531</v>
      </c>
      <c r="X146" s="118" t="n">
        <f aca="false">VLOOKUP($A146,Table,MATCH(X$4,Curves,0))</f>
        <v>2</v>
      </c>
      <c r="Y146" s="123" t="n">
        <f aca="false">1/(1+CHOOSE(F$3,(X147+($K$3/10000))/2,(X146+($K$3/10000))/2))^(2*W146/365.25)</f>
        <v>29422241.6615066</v>
      </c>
      <c r="Z146" s="67" t="n">
        <f aca="false">IF(AND(mthbeg&lt;=A146,mthend&gt;=A146),1,0)</f>
        <v>0</v>
      </c>
      <c r="AA146" s="67" t="n">
        <f aca="false">U146*Z146</f>
        <v>0</v>
      </c>
      <c r="AC146" s="110" t="n">
        <f aca="false">F146*(H146-I146)</f>
        <v>0</v>
      </c>
      <c r="AD146" s="49"/>
      <c r="AE146" s="124"/>
    </row>
    <row r="147" customFormat="false" ht="12.75" hidden="false" customHeight="false" outlineLevel="0" collapsed="false">
      <c r="A147" s="115" t="n">
        <f aca="false">EDATE(A146,1)</f>
        <v>41426</v>
      </c>
      <c r="B147" s="116" t="n">
        <f aca="false">'Inputs-Summary'!$B$7</f>
        <v>3017157.21662952</v>
      </c>
      <c r="C147" s="57"/>
      <c r="D147" s="117" t="n">
        <f aca="false">B147+C147</f>
        <v>3017157.21662952</v>
      </c>
      <c r="E147" s="106" t="n">
        <f aca="false">IF(Z147=0,0,IF(AND(Z147=1,$H$3=1),D147*U147,IF($H$3=2,D147,"N/A")))</f>
        <v>0</v>
      </c>
      <c r="F147" s="106" t="n">
        <f aca="false">E147*Y147</f>
        <v>0</v>
      </c>
      <c r="G147" s="118" t="n">
        <f aca="false">VLOOKUP($A147,Table,MATCH(G$4,Curves,0))</f>
        <v>3</v>
      </c>
      <c r="H147" s="119" t="n">
        <f aca="false">G147+$H$7</f>
        <v>3</v>
      </c>
      <c r="I147" s="118" t="n">
        <f aca="false">'Inputs-Summary'!$B$16</f>
        <v>1.85</v>
      </c>
      <c r="J147" s="118" t="n">
        <f aca="false">VLOOKUP($A147,Table,MATCH(J$4,Curves,0))</f>
        <v>5</v>
      </c>
      <c r="K147" s="119" t="n">
        <f aca="false">J147+$K$7</f>
        <v>5</v>
      </c>
      <c r="L147" s="120" t="n">
        <f aca="false">K147</f>
        <v>5</v>
      </c>
      <c r="M147" s="118" t="n">
        <f aca="false">VLOOKUP($A147,Table,MATCH(M$4,Curves,0))</f>
        <v>5</v>
      </c>
      <c r="N147" s="119" t="n">
        <f aca="false">M147+$N$7</f>
        <v>5</v>
      </c>
      <c r="O147" s="120" t="n">
        <f aca="false">N147</f>
        <v>5</v>
      </c>
      <c r="P147" s="109"/>
      <c r="Q147" s="120" t="n">
        <f aca="false">IF($F$3=1,M147+J147+G147,J147+G147)</f>
        <v>8</v>
      </c>
      <c r="R147" s="120" t="n">
        <f aca="false">IF($F$3=1,N147+K147+H147,K147+H147)</f>
        <v>8</v>
      </c>
      <c r="S147" s="120" t="n">
        <f aca="false">IF($F$3=1,O147+L147+I147,L147+I147)</f>
        <v>6.85</v>
      </c>
      <c r="T147" s="121"/>
      <c r="U147" s="67" t="n">
        <f aca="false">A148-A147</f>
        <v>30</v>
      </c>
      <c r="V147" s="122" t="n">
        <f aca="false">CHOOSE(F$3,A148+24,A147)</f>
        <v>41426</v>
      </c>
      <c r="W147" s="67" t="n">
        <f aca="false">V147-C$3</f>
        <v>-4500</v>
      </c>
      <c r="X147" s="118" t="n">
        <f aca="false">VLOOKUP($A147,Table,MATCH(X$4,Curves,0))</f>
        <v>2</v>
      </c>
      <c r="Y147" s="123" t="n">
        <f aca="false">1/(1+CHOOSE(F$3,(X148+($K$3/10000))/2,(X147+($K$3/10000))/2))^(2*W147/365.25)</f>
        <v>26156335.2537146</v>
      </c>
      <c r="Z147" s="67" t="n">
        <f aca="false">IF(AND(mthbeg&lt;=A147,mthend&gt;=A147),1,0)</f>
        <v>0</v>
      </c>
      <c r="AA147" s="67" t="n">
        <f aca="false">U147*Z147</f>
        <v>0</v>
      </c>
      <c r="AC147" s="110" t="n">
        <f aca="false">F147*(H147-I147)</f>
        <v>0</v>
      </c>
      <c r="AD147" s="49"/>
      <c r="AE147" s="124"/>
    </row>
    <row r="148" customFormat="false" ht="12.75" hidden="false" customHeight="false" outlineLevel="0" collapsed="false">
      <c r="A148" s="115" t="n">
        <f aca="false">EDATE(A147,1)</f>
        <v>41456</v>
      </c>
      <c r="B148" s="116" t="n">
        <f aca="false">'Inputs-Summary'!$B$7</f>
        <v>3017157.21662952</v>
      </c>
      <c r="C148" s="57"/>
      <c r="D148" s="117" t="n">
        <f aca="false">B148+C148</f>
        <v>3017157.21662952</v>
      </c>
      <c r="E148" s="106" t="n">
        <f aca="false">IF(Z148=0,0,IF(AND(Z148=1,$H$3=1),D148*U148,IF($H$3=2,D148,"N/A")))</f>
        <v>0</v>
      </c>
      <c r="F148" s="106" t="n">
        <f aca="false">E148*Y148</f>
        <v>0</v>
      </c>
      <c r="G148" s="118" t="n">
        <f aca="false">VLOOKUP($A148,Table,MATCH(G$4,Curves,0))</f>
        <v>3</v>
      </c>
      <c r="H148" s="119" t="n">
        <f aca="false">G148+$H$7</f>
        <v>3</v>
      </c>
      <c r="I148" s="118" t="n">
        <f aca="false">'Inputs-Summary'!$B$16</f>
        <v>1.85</v>
      </c>
      <c r="J148" s="118" t="n">
        <f aca="false">VLOOKUP($A148,Table,MATCH(J$4,Curves,0))</f>
        <v>5</v>
      </c>
      <c r="K148" s="119" t="n">
        <f aca="false">J148+$K$7</f>
        <v>5</v>
      </c>
      <c r="L148" s="120" t="n">
        <f aca="false">K148</f>
        <v>5</v>
      </c>
      <c r="M148" s="118" t="n">
        <f aca="false">VLOOKUP($A148,Table,MATCH(M$4,Curves,0))</f>
        <v>5</v>
      </c>
      <c r="N148" s="119" t="n">
        <f aca="false">M148+$N$7</f>
        <v>5</v>
      </c>
      <c r="O148" s="120" t="n">
        <f aca="false">N148</f>
        <v>5</v>
      </c>
      <c r="P148" s="109"/>
      <c r="Q148" s="120" t="n">
        <f aca="false">IF($F$3=1,M148+J148+G148,J148+G148)</f>
        <v>8</v>
      </c>
      <c r="R148" s="120" t="n">
        <f aca="false">IF($F$3=1,N148+K148+H148,K148+H148)</f>
        <v>8</v>
      </c>
      <c r="S148" s="120" t="n">
        <f aca="false">IF($F$3=1,O148+L148+I148,L148+I148)</f>
        <v>6.85</v>
      </c>
      <c r="T148" s="121"/>
      <c r="U148" s="67" t="n">
        <f aca="false">A149-A148</f>
        <v>31</v>
      </c>
      <c r="V148" s="122" t="n">
        <f aca="false">CHOOSE(F$3,A149+24,A148)</f>
        <v>41456</v>
      </c>
      <c r="W148" s="67" t="n">
        <f aca="false">V148-C$3</f>
        <v>-4470</v>
      </c>
      <c r="X148" s="118" t="n">
        <f aca="false">VLOOKUP($A148,Table,MATCH(X$4,Curves,0))</f>
        <v>2</v>
      </c>
      <c r="Y148" s="123" t="n">
        <f aca="false">1/(1+CHOOSE(F$3,(X149+($K$3/10000))/2,(X148+($K$3/10000))/2))^(2*W148/365.25)</f>
        <v>23341372.1287627</v>
      </c>
      <c r="Z148" s="67" t="n">
        <f aca="false">IF(AND(mthbeg&lt;=A148,mthend&gt;=A148),1,0)</f>
        <v>0</v>
      </c>
      <c r="AA148" s="67" t="n">
        <f aca="false">U148*Z148</f>
        <v>0</v>
      </c>
      <c r="AC148" s="110" t="n">
        <f aca="false">F148*(H148-I148)</f>
        <v>0</v>
      </c>
      <c r="AD148" s="49"/>
      <c r="AE148" s="124"/>
    </row>
    <row r="149" customFormat="false" ht="12.75" hidden="false" customHeight="false" outlineLevel="0" collapsed="false">
      <c r="A149" s="115" t="n">
        <f aca="false">EDATE(A148,1)</f>
        <v>41487</v>
      </c>
      <c r="B149" s="116" t="n">
        <f aca="false">'Inputs-Summary'!$B$7</f>
        <v>3017157.21662952</v>
      </c>
      <c r="C149" s="57"/>
      <c r="D149" s="117" t="n">
        <f aca="false">B149+C149</f>
        <v>3017157.21662952</v>
      </c>
      <c r="E149" s="106" t="n">
        <f aca="false">IF(Z149=0,0,IF(AND(Z149=1,$H$3=1),D149*U149,IF($H$3=2,D149,"N/A")))</f>
        <v>0</v>
      </c>
      <c r="F149" s="106" t="n">
        <f aca="false">E149*Y149</f>
        <v>0</v>
      </c>
      <c r="G149" s="118" t="n">
        <f aca="false">VLOOKUP($A149,Table,MATCH(G$4,Curves,0))</f>
        <v>3</v>
      </c>
      <c r="H149" s="119" t="n">
        <f aca="false">G149+$H$7</f>
        <v>3</v>
      </c>
      <c r="I149" s="118" t="n">
        <f aca="false">'Inputs-Summary'!$B$16</f>
        <v>1.85</v>
      </c>
      <c r="J149" s="118" t="n">
        <f aca="false">VLOOKUP($A149,Table,MATCH(J$4,Curves,0))</f>
        <v>5</v>
      </c>
      <c r="K149" s="119" t="n">
        <f aca="false">J149+$K$7</f>
        <v>5</v>
      </c>
      <c r="L149" s="120" t="n">
        <f aca="false">K149</f>
        <v>5</v>
      </c>
      <c r="M149" s="118" t="n">
        <f aca="false">VLOOKUP($A149,Table,MATCH(M$4,Curves,0))</f>
        <v>5</v>
      </c>
      <c r="N149" s="119" t="n">
        <f aca="false">M149+$N$7</f>
        <v>5</v>
      </c>
      <c r="O149" s="120" t="n">
        <f aca="false">N149</f>
        <v>5</v>
      </c>
      <c r="P149" s="109"/>
      <c r="Q149" s="120" t="n">
        <f aca="false">IF($F$3=1,M149+J149+G149,J149+G149)</f>
        <v>8</v>
      </c>
      <c r="R149" s="120" t="n">
        <f aca="false">IF($F$3=1,N149+K149+H149,K149+H149)</f>
        <v>8</v>
      </c>
      <c r="S149" s="120" t="n">
        <f aca="false">IF($F$3=1,O149+L149+I149,L149+I149)</f>
        <v>6.85</v>
      </c>
      <c r="T149" s="121"/>
      <c r="U149" s="67" t="n">
        <f aca="false">A150-A149</f>
        <v>31</v>
      </c>
      <c r="V149" s="122" t="n">
        <f aca="false">CHOOSE(F$3,A150+24,A149)</f>
        <v>41487</v>
      </c>
      <c r="W149" s="67" t="n">
        <f aca="false">V149-C$3</f>
        <v>-4439</v>
      </c>
      <c r="X149" s="118" t="n">
        <f aca="false">VLOOKUP($A149,Table,MATCH(X$4,Curves,0))</f>
        <v>2</v>
      </c>
      <c r="Y149" s="123" t="n">
        <f aca="false">1/(1+CHOOSE(F$3,(X150+($K$3/10000))/2,(X149+($K$3/10000))/2))^(2*W149/365.25)</f>
        <v>20750450.0066827</v>
      </c>
      <c r="Z149" s="67" t="n">
        <f aca="false">IF(AND(mthbeg&lt;=A149,mthend&gt;=A149),1,0)</f>
        <v>0</v>
      </c>
      <c r="AA149" s="67" t="n">
        <f aca="false">U149*Z149</f>
        <v>0</v>
      </c>
      <c r="AC149" s="110" t="n">
        <f aca="false">F149*(H149-I149)</f>
        <v>0</v>
      </c>
      <c r="AD149" s="49"/>
      <c r="AE149" s="124"/>
    </row>
    <row r="150" customFormat="false" ht="12.75" hidden="false" customHeight="false" outlineLevel="0" collapsed="false">
      <c r="A150" s="115" t="n">
        <f aca="false">EDATE(A149,1)</f>
        <v>41518</v>
      </c>
      <c r="B150" s="116" t="n">
        <f aca="false">'Inputs-Summary'!$B$7</f>
        <v>3017157.21662952</v>
      </c>
      <c r="C150" s="57"/>
      <c r="D150" s="117" t="n">
        <f aca="false">B150+C150</f>
        <v>3017157.21662952</v>
      </c>
      <c r="E150" s="106" t="n">
        <f aca="false">IF(Z150=0,0,IF(AND(Z150=1,$H$3=1),D150*U150,IF($H$3=2,D150,"N/A")))</f>
        <v>0</v>
      </c>
      <c r="F150" s="106" t="n">
        <f aca="false">E150*Y150</f>
        <v>0</v>
      </c>
      <c r="G150" s="118" t="n">
        <f aca="false">VLOOKUP($A150,Table,MATCH(G$4,Curves,0))</f>
        <v>3</v>
      </c>
      <c r="H150" s="119" t="n">
        <f aca="false">G150+$H$7</f>
        <v>3</v>
      </c>
      <c r="I150" s="118" t="n">
        <f aca="false">'Inputs-Summary'!$B$16</f>
        <v>1.85</v>
      </c>
      <c r="J150" s="118" t="n">
        <f aca="false">VLOOKUP($A150,Table,MATCH(J$4,Curves,0))</f>
        <v>5</v>
      </c>
      <c r="K150" s="119" t="n">
        <f aca="false">J150+$K$7</f>
        <v>5</v>
      </c>
      <c r="L150" s="120" t="n">
        <f aca="false">K150</f>
        <v>5</v>
      </c>
      <c r="M150" s="118" t="n">
        <f aca="false">VLOOKUP($A150,Table,MATCH(M$4,Curves,0))</f>
        <v>5</v>
      </c>
      <c r="N150" s="119" t="n">
        <f aca="false">M150+$N$7</f>
        <v>5</v>
      </c>
      <c r="O150" s="120" t="n">
        <f aca="false">N150</f>
        <v>5</v>
      </c>
      <c r="P150" s="109"/>
      <c r="Q150" s="120" t="n">
        <f aca="false">IF($F$3=1,M150+J150+G150,J150+G150)</f>
        <v>8</v>
      </c>
      <c r="R150" s="120" t="n">
        <f aca="false">IF($F$3=1,N150+K150+H150,K150+H150)</f>
        <v>8</v>
      </c>
      <c r="S150" s="120" t="n">
        <f aca="false">IF($F$3=1,O150+L150+I150,L150+I150)</f>
        <v>6.85</v>
      </c>
      <c r="T150" s="121"/>
      <c r="U150" s="67" t="n">
        <f aca="false">A151-A150</f>
        <v>30</v>
      </c>
      <c r="V150" s="122" t="n">
        <f aca="false">CHOOSE(F$3,A151+24,A150)</f>
        <v>41518</v>
      </c>
      <c r="W150" s="67" t="n">
        <f aca="false">V150-C$3</f>
        <v>-4408</v>
      </c>
      <c r="X150" s="118" t="n">
        <f aca="false">VLOOKUP($A150,Table,MATCH(X$4,Curves,0))</f>
        <v>2</v>
      </c>
      <c r="Y150" s="123" t="n">
        <f aca="false">1/(1+CHOOSE(F$3,(X151+($K$3/10000))/2,(X150+($K$3/10000))/2))^(2*W150/365.25)</f>
        <v>18447123.549744</v>
      </c>
      <c r="Z150" s="67" t="n">
        <f aca="false">IF(AND(mthbeg&lt;=A150,mthend&gt;=A150),1,0)</f>
        <v>0</v>
      </c>
      <c r="AA150" s="67" t="n">
        <f aca="false">U150*Z150</f>
        <v>0</v>
      </c>
      <c r="AC150" s="110" t="n">
        <f aca="false">F150*(H150-I150)</f>
        <v>0</v>
      </c>
      <c r="AD150" s="49"/>
      <c r="AE150" s="124"/>
    </row>
    <row r="151" customFormat="false" ht="12.75" hidden="false" customHeight="false" outlineLevel="0" collapsed="false">
      <c r="A151" s="115" t="n">
        <f aca="false">EDATE(A150,1)</f>
        <v>41548</v>
      </c>
      <c r="B151" s="116" t="n">
        <f aca="false">'Inputs-Summary'!$B$7</f>
        <v>3017157.21662952</v>
      </c>
      <c r="C151" s="57"/>
      <c r="D151" s="117" t="n">
        <f aca="false">B151+C151</f>
        <v>3017157.21662952</v>
      </c>
      <c r="E151" s="106" t="n">
        <f aca="false">IF(Z151=0,0,IF(AND(Z151=1,$H$3=1),D151*U151,IF($H$3=2,D151,"N/A")))</f>
        <v>0</v>
      </c>
      <c r="F151" s="106" t="n">
        <f aca="false">E151*Y151</f>
        <v>0</v>
      </c>
      <c r="G151" s="118" t="n">
        <f aca="false">VLOOKUP($A151,Table,MATCH(G$4,Curves,0))</f>
        <v>3</v>
      </c>
      <c r="H151" s="119" t="n">
        <f aca="false">G151+$H$7</f>
        <v>3</v>
      </c>
      <c r="I151" s="118" t="n">
        <f aca="false">'Inputs-Summary'!$B$16</f>
        <v>1.85</v>
      </c>
      <c r="J151" s="118" t="n">
        <f aca="false">VLOOKUP($A151,Table,MATCH(J$4,Curves,0))</f>
        <v>5</v>
      </c>
      <c r="K151" s="119" t="n">
        <f aca="false">J151+$K$7</f>
        <v>5</v>
      </c>
      <c r="L151" s="120" t="n">
        <f aca="false">K151</f>
        <v>5</v>
      </c>
      <c r="M151" s="118" t="n">
        <f aca="false">VLOOKUP($A151,Table,MATCH(M$4,Curves,0))</f>
        <v>5</v>
      </c>
      <c r="N151" s="119" t="n">
        <f aca="false">M151+$N$7</f>
        <v>5</v>
      </c>
      <c r="O151" s="120" t="n">
        <f aca="false">N151</f>
        <v>5</v>
      </c>
      <c r="P151" s="109"/>
      <c r="Q151" s="120" t="n">
        <f aca="false">IF($F$3=1,M151+J151+G151,J151+G151)</f>
        <v>8</v>
      </c>
      <c r="R151" s="120" t="n">
        <f aca="false">IF($F$3=1,N151+K151+H151,K151+H151)</f>
        <v>8</v>
      </c>
      <c r="S151" s="120" t="n">
        <f aca="false">IF($F$3=1,O151+L151+I151,L151+I151)</f>
        <v>6.85</v>
      </c>
      <c r="T151" s="121"/>
      <c r="U151" s="67" t="n">
        <f aca="false">A152-A151</f>
        <v>31</v>
      </c>
      <c r="V151" s="122" t="n">
        <f aca="false">CHOOSE(F$3,A152+24,A151)</f>
        <v>41548</v>
      </c>
      <c r="W151" s="67" t="n">
        <f aca="false">V151-C$3</f>
        <v>-4378</v>
      </c>
      <c r="X151" s="118" t="n">
        <f aca="false">VLOOKUP($A151,Table,MATCH(X$4,Curves,0))</f>
        <v>2</v>
      </c>
      <c r="Y151" s="123" t="n">
        <f aca="false">1/(1+CHOOSE(F$3,(X152+($K$3/10000))/2,(X151+($K$3/10000))/2))^(2*W151/365.25)</f>
        <v>16461831.1893937</v>
      </c>
      <c r="Z151" s="67" t="n">
        <f aca="false">IF(AND(mthbeg&lt;=A151,mthend&gt;=A151),1,0)</f>
        <v>0</v>
      </c>
      <c r="AA151" s="67" t="n">
        <f aca="false">U151*Z151</f>
        <v>0</v>
      </c>
      <c r="AC151" s="110" t="n">
        <f aca="false">F151*(H151-I151)</f>
        <v>0</v>
      </c>
      <c r="AD151" s="49"/>
      <c r="AE151" s="124"/>
    </row>
    <row r="152" customFormat="false" ht="12.75" hidden="false" customHeight="false" outlineLevel="0" collapsed="false">
      <c r="A152" s="115" t="n">
        <f aca="false">EDATE(A151,1)</f>
        <v>41579</v>
      </c>
      <c r="B152" s="116" t="n">
        <f aca="false">'Inputs-Summary'!$B$7</f>
        <v>3017157.21662952</v>
      </c>
      <c r="C152" s="57"/>
      <c r="D152" s="117" t="n">
        <f aca="false">B152+C152</f>
        <v>3017157.21662952</v>
      </c>
      <c r="E152" s="106" t="n">
        <f aca="false">IF(Z152=0,0,IF(AND(Z152=1,$H$3=1),D152*U152,IF($H$3=2,D152,"N/A")))</f>
        <v>0</v>
      </c>
      <c r="F152" s="106" t="n">
        <f aca="false">E152*Y152</f>
        <v>0</v>
      </c>
      <c r="G152" s="118" t="n">
        <f aca="false">VLOOKUP($A152,Table,MATCH(G$4,Curves,0))</f>
        <v>3</v>
      </c>
      <c r="H152" s="119" t="n">
        <f aca="false">G152+$H$7</f>
        <v>3</v>
      </c>
      <c r="I152" s="118" t="n">
        <f aca="false">'Inputs-Summary'!$B$16</f>
        <v>1.85</v>
      </c>
      <c r="J152" s="118" t="n">
        <f aca="false">VLOOKUP($A152,Table,MATCH(J$4,Curves,0))</f>
        <v>5</v>
      </c>
      <c r="K152" s="119" t="n">
        <f aca="false">J152+$K$7</f>
        <v>5</v>
      </c>
      <c r="L152" s="120" t="n">
        <f aca="false">K152</f>
        <v>5</v>
      </c>
      <c r="M152" s="118" t="n">
        <f aca="false">VLOOKUP($A152,Table,MATCH(M$4,Curves,0))</f>
        <v>5</v>
      </c>
      <c r="N152" s="119" t="n">
        <f aca="false">M152+$N$7</f>
        <v>5</v>
      </c>
      <c r="O152" s="120" t="n">
        <f aca="false">N152</f>
        <v>5</v>
      </c>
      <c r="P152" s="109"/>
      <c r="Q152" s="120" t="n">
        <f aca="false">IF($F$3=1,M152+J152+G152,J152+G152)</f>
        <v>8</v>
      </c>
      <c r="R152" s="120" t="n">
        <f aca="false">IF($F$3=1,N152+K152+H152,K152+H152)</f>
        <v>8</v>
      </c>
      <c r="S152" s="120" t="n">
        <f aca="false">IF($F$3=1,O152+L152+I152,L152+I152)</f>
        <v>6.85</v>
      </c>
      <c r="T152" s="121"/>
      <c r="U152" s="67" t="n">
        <f aca="false">A153-A152</f>
        <v>30</v>
      </c>
      <c r="V152" s="122" t="n">
        <f aca="false">CHOOSE(F$3,A153+24,A152)</f>
        <v>41579</v>
      </c>
      <c r="W152" s="67" t="n">
        <f aca="false">V152-C$3</f>
        <v>-4347</v>
      </c>
      <c r="X152" s="118" t="n">
        <f aca="false">VLOOKUP($A152,Table,MATCH(X$4,Curves,0))</f>
        <v>2</v>
      </c>
      <c r="Y152" s="123" t="n">
        <f aca="false">1/(1+CHOOSE(F$3,(X153+($K$3/10000))/2,(X152+($K$3/10000))/2))^(2*W152/365.25)</f>
        <v>14634546.8993673</v>
      </c>
      <c r="Z152" s="67" t="n">
        <f aca="false">IF(AND(mthbeg&lt;=A152,mthend&gt;=A152),1,0)</f>
        <v>0</v>
      </c>
      <c r="AA152" s="67" t="n">
        <f aca="false">U152*Z152</f>
        <v>0</v>
      </c>
      <c r="AC152" s="110" t="n">
        <f aca="false">F152*(H152-I152)</f>
        <v>0</v>
      </c>
      <c r="AD152" s="49"/>
      <c r="AE152" s="124"/>
    </row>
    <row r="153" customFormat="false" ht="12.75" hidden="false" customHeight="false" outlineLevel="0" collapsed="false">
      <c r="A153" s="115" t="n">
        <f aca="false">EDATE(A152,1)</f>
        <v>41609</v>
      </c>
      <c r="B153" s="116" t="n">
        <f aca="false">'Inputs-Summary'!$B$7</f>
        <v>3017157.21662952</v>
      </c>
      <c r="C153" s="57"/>
      <c r="D153" s="117" t="n">
        <f aca="false">B153+C153</f>
        <v>3017157.21662952</v>
      </c>
      <c r="E153" s="106" t="n">
        <f aca="false">IF(Z153=0,0,IF(AND(Z153=1,$H$3=1),D153*U153,IF($H$3=2,D153,"N/A")))</f>
        <v>0</v>
      </c>
      <c r="F153" s="106" t="n">
        <f aca="false">E153*Y153</f>
        <v>0</v>
      </c>
      <c r="G153" s="118" t="n">
        <f aca="false">VLOOKUP($A153,Table,MATCH(G$4,Curves,0))</f>
        <v>3</v>
      </c>
      <c r="H153" s="119" t="n">
        <f aca="false">G153+$H$7</f>
        <v>3</v>
      </c>
      <c r="I153" s="118" t="n">
        <f aca="false">'Inputs-Summary'!$B$16</f>
        <v>1.85</v>
      </c>
      <c r="J153" s="118" t="n">
        <f aca="false">VLOOKUP($A153,Table,MATCH(J$4,Curves,0))</f>
        <v>5</v>
      </c>
      <c r="K153" s="119" t="n">
        <f aca="false">J153+$K$7</f>
        <v>5</v>
      </c>
      <c r="L153" s="120" t="n">
        <f aca="false">K153</f>
        <v>5</v>
      </c>
      <c r="M153" s="118" t="n">
        <f aca="false">VLOOKUP($A153,Table,MATCH(M$4,Curves,0))</f>
        <v>5</v>
      </c>
      <c r="N153" s="119" t="n">
        <f aca="false">M153+$N$7</f>
        <v>5</v>
      </c>
      <c r="O153" s="120" t="n">
        <f aca="false">N153</f>
        <v>5</v>
      </c>
      <c r="P153" s="109"/>
      <c r="Q153" s="120" t="n">
        <f aca="false">IF($F$3=1,M153+J153+G153,J153+G153)</f>
        <v>8</v>
      </c>
      <c r="R153" s="120" t="n">
        <f aca="false">IF($F$3=1,N153+K153+H153,K153+H153)</f>
        <v>8</v>
      </c>
      <c r="S153" s="120" t="n">
        <f aca="false">IF($F$3=1,O153+L153+I153,L153+I153)</f>
        <v>6.85</v>
      </c>
      <c r="T153" s="121"/>
      <c r="U153" s="67" t="n">
        <f aca="false">A154-A153</f>
        <v>31</v>
      </c>
      <c r="V153" s="122" t="n">
        <f aca="false">CHOOSE(F$3,A154+24,A153)</f>
        <v>41609</v>
      </c>
      <c r="W153" s="67" t="n">
        <f aca="false">V153-C$3</f>
        <v>-4317</v>
      </c>
      <c r="X153" s="118" t="n">
        <f aca="false">VLOOKUP($A153,Table,MATCH(X$4,Curves,0))</f>
        <v>2</v>
      </c>
      <c r="Y153" s="123" t="n">
        <f aca="false">1/(1+CHOOSE(F$3,(X154+($K$3/10000))/2,(X153+($K$3/10000))/2))^(2*W153/365.25)</f>
        <v>13059566.7091953</v>
      </c>
      <c r="Z153" s="67" t="n">
        <f aca="false">IF(AND(mthbeg&lt;=A153,mthend&gt;=A153),1,0)</f>
        <v>0</v>
      </c>
      <c r="AA153" s="67" t="n">
        <f aca="false">U153*Z153</f>
        <v>0</v>
      </c>
      <c r="AC153" s="110" t="n">
        <f aca="false">F153*(H153-I153)</f>
        <v>0</v>
      </c>
      <c r="AD153" s="49"/>
      <c r="AE153" s="124"/>
    </row>
    <row r="154" customFormat="false" ht="12.75" hidden="false" customHeight="false" outlineLevel="0" collapsed="false">
      <c r="A154" s="115" t="n">
        <f aca="false">EDATE(A153,1)</f>
        <v>41640</v>
      </c>
      <c r="B154" s="116" t="n">
        <f aca="false">'Inputs-Summary'!$B$7</f>
        <v>3017157.21662952</v>
      </c>
      <c r="C154" s="57"/>
      <c r="D154" s="117" t="n">
        <f aca="false">B154+C154</f>
        <v>3017157.21662952</v>
      </c>
      <c r="E154" s="106" t="n">
        <f aca="false">IF(Z154=0,0,IF(AND(Z154=1,$H$3=1),D154*U154,IF($H$3=2,D154,"N/A")))</f>
        <v>0</v>
      </c>
      <c r="F154" s="106" t="n">
        <f aca="false">E154*Y154</f>
        <v>0</v>
      </c>
      <c r="G154" s="118" t="n">
        <f aca="false">VLOOKUP($A154,Table,MATCH(G$4,Curves,0))</f>
        <v>3</v>
      </c>
      <c r="H154" s="119" t="n">
        <f aca="false">G154+$H$7</f>
        <v>3</v>
      </c>
      <c r="I154" s="118" t="n">
        <f aca="false">'Inputs-Summary'!$B$16</f>
        <v>1.85</v>
      </c>
      <c r="J154" s="118" t="n">
        <f aca="false">VLOOKUP($A154,Table,MATCH(J$4,Curves,0))</f>
        <v>5</v>
      </c>
      <c r="K154" s="119" t="n">
        <f aca="false">J154+$K$7</f>
        <v>5</v>
      </c>
      <c r="L154" s="120" t="n">
        <f aca="false">K154</f>
        <v>5</v>
      </c>
      <c r="M154" s="118" t="n">
        <f aca="false">VLOOKUP($A154,Table,MATCH(M$4,Curves,0))</f>
        <v>5</v>
      </c>
      <c r="N154" s="119" t="n">
        <f aca="false">M154+$N$7</f>
        <v>5</v>
      </c>
      <c r="O154" s="120" t="n">
        <f aca="false">N154</f>
        <v>5</v>
      </c>
      <c r="P154" s="109"/>
      <c r="Q154" s="120" t="n">
        <f aca="false">IF($F$3=1,M154+J154+G154,J154+G154)</f>
        <v>8</v>
      </c>
      <c r="R154" s="120" t="n">
        <f aca="false">IF($F$3=1,N154+K154+H154,K154+H154)</f>
        <v>8</v>
      </c>
      <c r="S154" s="120" t="n">
        <f aca="false">IF($F$3=1,O154+L154+I154,L154+I154)</f>
        <v>6.85</v>
      </c>
      <c r="T154" s="121"/>
      <c r="U154" s="67" t="n">
        <f aca="false">A155-A154</f>
        <v>31</v>
      </c>
      <c r="V154" s="122" t="n">
        <f aca="false">CHOOSE(F$3,A155+24,A154)</f>
        <v>41640</v>
      </c>
      <c r="W154" s="67" t="n">
        <f aca="false">V154-C$3</f>
        <v>-4286</v>
      </c>
      <c r="X154" s="118" t="n">
        <f aca="false">VLOOKUP($A154,Table,MATCH(X$4,Curves,0))</f>
        <v>2</v>
      </c>
      <c r="Y154" s="123" t="n">
        <f aca="false">1/(1+CHOOSE(F$3,(X155+($K$3/10000))/2,(X154+($K$3/10000))/2))^(2*W154/365.25)</f>
        <v>11609938.1224535</v>
      </c>
      <c r="Z154" s="67" t="n">
        <f aca="false">IF(AND(mthbeg&lt;=A154,mthend&gt;=A154),1,0)</f>
        <v>0</v>
      </c>
      <c r="AA154" s="67" t="n">
        <f aca="false">U154*Z154</f>
        <v>0</v>
      </c>
      <c r="AC154" s="110" t="n">
        <f aca="false">F154*(H154-I154)</f>
        <v>0</v>
      </c>
      <c r="AD154" s="49"/>
      <c r="AE154" s="124"/>
    </row>
    <row r="155" customFormat="false" ht="12.75" hidden="false" customHeight="false" outlineLevel="0" collapsed="false">
      <c r="A155" s="115" t="n">
        <f aca="false">EDATE(A154,1)</f>
        <v>41671</v>
      </c>
      <c r="B155" s="116" t="n">
        <f aca="false">'Inputs-Summary'!$B$7</f>
        <v>3017157.21662952</v>
      </c>
      <c r="C155" s="57"/>
      <c r="D155" s="117" t="n">
        <f aca="false">B155+C155</f>
        <v>3017157.21662952</v>
      </c>
      <c r="E155" s="106" t="n">
        <f aca="false">IF(Z155=0,0,IF(AND(Z155=1,$H$3=1),D155*U155,IF($H$3=2,D155,"N/A")))</f>
        <v>0</v>
      </c>
      <c r="F155" s="106" t="n">
        <f aca="false">E155*Y155</f>
        <v>0</v>
      </c>
      <c r="G155" s="118" t="n">
        <f aca="false">VLOOKUP($A155,Table,MATCH(G$4,Curves,0))</f>
        <v>3</v>
      </c>
      <c r="H155" s="119" t="n">
        <f aca="false">G155+$H$7</f>
        <v>3</v>
      </c>
      <c r="I155" s="118" t="n">
        <f aca="false">'Inputs-Summary'!$B$16</f>
        <v>1.85</v>
      </c>
      <c r="J155" s="118" t="n">
        <f aca="false">VLOOKUP($A155,Table,MATCH(J$4,Curves,0))</f>
        <v>5</v>
      </c>
      <c r="K155" s="119" t="n">
        <f aca="false">J155+$K$7</f>
        <v>5</v>
      </c>
      <c r="L155" s="120" t="n">
        <f aca="false">K155</f>
        <v>5</v>
      </c>
      <c r="M155" s="118" t="n">
        <f aca="false">VLOOKUP($A155,Table,MATCH(M$4,Curves,0))</f>
        <v>5</v>
      </c>
      <c r="N155" s="119" t="n">
        <f aca="false">M155+$N$7</f>
        <v>5</v>
      </c>
      <c r="O155" s="120" t="n">
        <f aca="false">N155</f>
        <v>5</v>
      </c>
      <c r="P155" s="109"/>
      <c r="Q155" s="120" t="n">
        <f aca="false">IF($F$3=1,M155+J155+G155,J155+G155)</f>
        <v>8</v>
      </c>
      <c r="R155" s="120" t="n">
        <f aca="false">IF($F$3=1,N155+K155+H155,K155+H155)</f>
        <v>8</v>
      </c>
      <c r="S155" s="120" t="n">
        <f aca="false">IF($F$3=1,O155+L155+I155,L155+I155)</f>
        <v>6.85</v>
      </c>
      <c r="T155" s="121"/>
      <c r="U155" s="67" t="n">
        <f aca="false">A156-A155</f>
        <v>28</v>
      </c>
      <c r="V155" s="122" t="n">
        <f aca="false">CHOOSE(F$3,A156+24,A155)</f>
        <v>41671</v>
      </c>
      <c r="W155" s="67" t="n">
        <f aca="false">V155-C$3</f>
        <v>-4255</v>
      </c>
      <c r="X155" s="118" t="n">
        <f aca="false">VLOOKUP($A155,Table,MATCH(X$4,Curves,0))</f>
        <v>2</v>
      </c>
      <c r="Y155" s="123" t="n">
        <f aca="false">1/(1+CHOOSE(F$3,(X156+($K$3/10000))/2,(X155+($K$3/10000))/2))^(2*W155/365.25)</f>
        <v>10321220.1605656</v>
      </c>
      <c r="Z155" s="67" t="n">
        <f aca="false">IF(AND(mthbeg&lt;=A155,mthend&gt;=A155),1,0)</f>
        <v>0</v>
      </c>
      <c r="AA155" s="67" t="n">
        <f aca="false">U155*Z155</f>
        <v>0</v>
      </c>
      <c r="AC155" s="110" t="n">
        <f aca="false">F155*(H155-I155)</f>
        <v>0</v>
      </c>
      <c r="AD155" s="49"/>
      <c r="AE155" s="124"/>
    </row>
    <row r="156" customFormat="false" ht="12.75" hidden="false" customHeight="false" outlineLevel="0" collapsed="false">
      <c r="A156" s="115" t="n">
        <f aca="false">EDATE(A155,1)</f>
        <v>41699</v>
      </c>
      <c r="B156" s="116" t="n">
        <f aca="false">'Inputs-Summary'!$B$7</f>
        <v>3017157.21662952</v>
      </c>
      <c r="C156" s="57"/>
      <c r="D156" s="117" t="n">
        <f aca="false">B156+C156</f>
        <v>3017157.21662952</v>
      </c>
      <c r="E156" s="106" t="n">
        <f aca="false">IF(Z156=0,0,IF(AND(Z156=1,$H$3=1),D156*U156,IF($H$3=2,D156,"N/A")))</f>
        <v>0</v>
      </c>
      <c r="F156" s="106" t="n">
        <f aca="false">E156*Y156</f>
        <v>0</v>
      </c>
      <c r="G156" s="118" t="n">
        <f aca="false">VLOOKUP($A156,Table,MATCH(G$4,Curves,0))</f>
        <v>3</v>
      </c>
      <c r="H156" s="119" t="n">
        <f aca="false">G156+$H$7</f>
        <v>3</v>
      </c>
      <c r="I156" s="118" t="n">
        <f aca="false">'Inputs-Summary'!$B$16</f>
        <v>1.85</v>
      </c>
      <c r="J156" s="118" t="n">
        <f aca="false">VLOOKUP($A156,Table,MATCH(J$4,Curves,0))</f>
        <v>5</v>
      </c>
      <c r="K156" s="119" t="n">
        <f aca="false">J156+$K$7</f>
        <v>5</v>
      </c>
      <c r="L156" s="120" t="n">
        <f aca="false">K156</f>
        <v>5</v>
      </c>
      <c r="M156" s="118" t="n">
        <f aca="false">VLOOKUP($A156,Table,MATCH(M$4,Curves,0))</f>
        <v>5</v>
      </c>
      <c r="N156" s="119" t="n">
        <f aca="false">M156+$N$7</f>
        <v>5</v>
      </c>
      <c r="O156" s="120" t="n">
        <f aca="false">N156</f>
        <v>5</v>
      </c>
      <c r="P156" s="109"/>
      <c r="Q156" s="120" t="n">
        <f aca="false">IF($F$3=1,M156+J156+G156,J156+G156)</f>
        <v>8</v>
      </c>
      <c r="R156" s="120" t="n">
        <f aca="false">IF($F$3=1,N156+K156+H156,K156+H156)</f>
        <v>8</v>
      </c>
      <c r="S156" s="120" t="n">
        <f aca="false">IF($F$3=1,O156+L156+I156,L156+I156)</f>
        <v>6.85</v>
      </c>
      <c r="T156" s="121"/>
      <c r="U156" s="67" t="n">
        <f aca="false">A157-A156</f>
        <v>31</v>
      </c>
      <c r="V156" s="122" t="n">
        <f aca="false">CHOOSE(F$3,A157+24,A156)</f>
        <v>41699</v>
      </c>
      <c r="W156" s="67" t="n">
        <f aca="false">V156-C$3</f>
        <v>-4227</v>
      </c>
      <c r="X156" s="118" t="n">
        <f aca="false">VLOOKUP($A156,Table,MATCH(X$4,Curves,0))</f>
        <v>2</v>
      </c>
      <c r="Y156" s="123" t="n">
        <f aca="false">1/(1+CHOOSE(F$3,(X157+($K$3/10000))/2,(X156+($K$3/10000))/2))^(2*W156/365.25)</f>
        <v>9280625.12056607</v>
      </c>
      <c r="Z156" s="67" t="n">
        <f aca="false">IF(AND(mthbeg&lt;=A156,mthend&gt;=A156),1,0)</f>
        <v>0</v>
      </c>
      <c r="AA156" s="67" t="n">
        <f aca="false">U156*Z156</f>
        <v>0</v>
      </c>
      <c r="AC156" s="110" t="n">
        <f aca="false">F156*(H156-I156)</f>
        <v>0</v>
      </c>
      <c r="AD156" s="49"/>
      <c r="AE156" s="124"/>
    </row>
    <row r="157" customFormat="false" ht="12.75" hidden="false" customHeight="false" outlineLevel="0" collapsed="false">
      <c r="A157" s="115" t="n">
        <f aca="false">EDATE(A156,1)</f>
        <v>41730</v>
      </c>
      <c r="B157" s="116" t="n">
        <f aca="false">'Inputs-Summary'!$B$7</f>
        <v>3017157.21662952</v>
      </c>
      <c r="C157" s="57"/>
      <c r="D157" s="117" t="n">
        <f aca="false">B157+C157</f>
        <v>3017157.21662952</v>
      </c>
      <c r="E157" s="106" t="n">
        <f aca="false">IF(Z157=0,0,IF(AND(Z157=1,$H$3=1),D157*U157,IF($H$3=2,D157,"N/A")))</f>
        <v>0</v>
      </c>
      <c r="F157" s="106" t="n">
        <f aca="false">E157*Y157</f>
        <v>0</v>
      </c>
      <c r="G157" s="118" t="n">
        <f aca="false">VLOOKUP($A157,Table,MATCH(G$4,Curves,0))</f>
        <v>3</v>
      </c>
      <c r="H157" s="119" t="n">
        <f aca="false">G157+$H$7</f>
        <v>3</v>
      </c>
      <c r="I157" s="118" t="n">
        <f aca="false">'Inputs-Summary'!$B$16</f>
        <v>1.85</v>
      </c>
      <c r="J157" s="118" t="n">
        <f aca="false">VLOOKUP($A157,Table,MATCH(J$4,Curves,0))</f>
        <v>5</v>
      </c>
      <c r="K157" s="119" t="n">
        <f aca="false">J157+$K$7</f>
        <v>5</v>
      </c>
      <c r="L157" s="120" t="n">
        <f aca="false">K157</f>
        <v>5</v>
      </c>
      <c r="M157" s="118" t="n">
        <f aca="false">VLOOKUP($A157,Table,MATCH(M$4,Curves,0))</f>
        <v>5</v>
      </c>
      <c r="N157" s="119" t="n">
        <f aca="false">M157+$N$7</f>
        <v>5</v>
      </c>
      <c r="O157" s="120" t="n">
        <f aca="false">N157</f>
        <v>5</v>
      </c>
      <c r="P157" s="109"/>
      <c r="Q157" s="120" t="n">
        <f aca="false">IF($F$3=1,M157+J157+G157,J157+G157)</f>
        <v>8</v>
      </c>
      <c r="R157" s="120" t="n">
        <f aca="false">IF($F$3=1,N157+K157+H157,K157+H157)</f>
        <v>8</v>
      </c>
      <c r="S157" s="120" t="n">
        <f aca="false">IF($F$3=1,O157+L157+I157,L157+I157)</f>
        <v>6.85</v>
      </c>
      <c r="T157" s="121"/>
      <c r="U157" s="67" t="n">
        <f aca="false">A158-A157</f>
        <v>30</v>
      </c>
      <c r="V157" s="122" t="n">
        <f aca="false">CHOOSE(F$3,A158+24,A157)</f>
        <v>41730</v>
      </c>
      <c r="W157" s="67" t="n">
        <f aca="false">V157-C$3</f>
        <v>-4196</v>
      </c>
      <c r="X157" s="118" t="n">
        <f aca="false">VLOOKUP($A157,Table,MATCH(X$4,Curves,0))</f>
        <v>2</v>
      </c>
      <c r="Y157" s="123" t="n">
        <f aca="false">1/(1+CHOOSE(F$3,(X158+($K$3/10000))/2,(X157+($K$3/10000))/2))^(2*W157/365.25)</f>
        <v>8250463.8773041</v>
      </c>
      <c r="Z157" s="67" t="n">
        <f aca="false">IF(AND(mthbeg&lt;=A157,mthend&gt;=A157),1,0)</f>
        <v>0</v>
      </c>
      <c r="AA157" s="67" t="n">
        <f aca="false">U157*Z157</f>
        <v>0</v>
      </c>
      <c r="AC157" s="110" t="n">
        <f aca="false">F157*(H157-I157)</f>
        <v>0</v>
      </c>
      <c r="AD157" s="49"/>
      <c r="AE157" s="124"/>
    </row>
    <row r="158" customFormat="false" ht="12.75" hidden="false" customHeight="false" outlineLevel="0" collapsed="false">
      <c r="A158" s="115" t="n">
        <f aca="false">EDATE(A157,1)</f>
        <v>41760</v>
      </c>
      <c r="B158" s="116" t="n">
        <f aca="false">'Inputs-Summary'!$B$7</f>
        <v>3017157.21662952</v>
      </c>
      <c r="C158" s="57"/>
      <c r="D158" s="117" t="n">
        <f aca="false">B158+C158</f>
        <v>3017157.21662952</v>
      </c>
      <c r="E158" s="106" t="n">
        <f aca="false">IF(Z158=0,0,IF(AND(Z158=1,$H$3=1),D158*U158,IF($H$3=2,D158,"N/A")))</f>
        <v>0</v>
      </c>
      <c r="F158" s="106" t="n">
        <f aca="false">E158*Y158</f>
        <v>0</v>
      </c>
      <c r="G158" s="118" t="n">
        <f aca="false">VLOOKUP($A158,Table,MATCH(G$4,Curves,0))</f>
        <v>3</v>
      </c>
      <c r="H158" s="119" t="n">
        <f aca="false">G158+$H$7</f>
        <v>3</v>
      </c>
      <c r="I158" s="118" t="n">
        <f aca="false">'Inputs-Summary'!$B$16</f>
        <v>1.85</v>
      </c>
      <c r="J158" s="118" t="n">
        <f aca="false">VLOOKUP($A158,Table,MATCH(J$4,Curves,0))</f>
        <v>5</v>
      </c>
      <c r="K158" s="119" t="n">
        <f aca="false">J158+$K$7</f>
        <v>5</v>
      </c>
      <c r="L158" s="120" t="n">
        <f aca="false">K158</f>
        <v>5</v>
      </c>
      <c r="M158" s="118" t="n">
        <f aca="false">VLOOKUP($A158,Table,MATCH(M$4,Curves,0))</f>
        <v>5</v>
      </c>
      <c r="N158" s="119" t="n">
        <f aca="false">M158+$N$7</f>
        <v>5</v>
      </c>
      <c r="O158" s="120" t="n">
        <f aca="false">N158</f>
        <v>5</v>
      </c>
      <c r="P158" s="109"/>
      <c r="Q158" s="120" t="n">
        <f aca="false">IF($F$3=1,M158+J158+G158,J158+G158)</f>
        <v>8</v>
      </c>
      <c r="R158" s="120" t="n">
        <f aca="false">IF($F$3=1,N158+K158+H158,K158+H158)</f>
        <v>8</v>
      </c>
      <c r="S158" s="120" t="n">
        <f aca="false">IF($F$3=1,O158+L158+I158,L158+I158)</f>
        <v>6.85</v>
      </c>
      <c r="T158" s="121"/>
      <c r="U158" s="67" t="n">
        <f aca="false">A159-A158</f>
        <v>31</v>
      </c>
      <c r="V158" s="122" t="n">
        <f aca="false">CHOOSE(F$3,A159+24,A158)</f>
        <v>41760</v>
      </c>
      <c r="W158" s="67" t="n">
        <f aca="false">V158-C$3</f>
        <v>-4166</v>
      </c>
      <c r="X158" s="118" t="n">
        <f aca="false">VLOOKUP($A158,Table,MATCH(X$4,Curves,0))</f>
        <v>2</v>
      </c>
      <c r="Y158" s="123" t="n">
        <f aca="false">1/(1+CHOOSE(F$3,(X159+($K$3/10000))/2,(X158+($K$3/10000))/2))^(2*W158/365.25)</f>
        <v>7362543.17461084</v>
      </c>
      <c r="Z158" s="67" t="n">
        <f aca="false">IF(AND(mthbeg&lt;=A158,mthend&gt;=A158),1,0)</f>
        <v>0</v>
      </c>
      <c r="AA158" s="67" t="n">
        <f aca="false">U158*Z158</f>
        <v>0</v>
      </c>
      <c r="AC158" s="110" t="n">
        <f aca="false">F158*(H158-I158)</f>
        <v>0</v>
      </c>
      <c r="AD158" s="49"/>
      <c r="AE158" s="124"/>
    </row>
    <row r="159" customFormat="false" ht="12.75" hidden="false" customHeight="false" outlineLevel="0" collapsed="false">
      <c r="A159" s="115" t="n">
        <f aca="false">EDATE(A158,1)</f>
        <v>41791</v>
      </c>
      <c r="B159" s="116" t="n">
        <f aca="false">'Inputs-Summary'!$B$7</f>
        <v>3017157.21662952</v>
      </c>
      <c r="C159" s="57"/>
      <c r="D159" s="117" t="n">
        <f aca="false">B159+C159</f>
        <v>3017157.21662952</v>
      </c>
      <c r="E159" s="106" t="n">
        <f aca="false">IF(Z159=0,0,IF(AND(Z159=1,$H$3=1),D159*U159,IF($H$3=2,D159,"N/A")))</f>
        <v>0</v>
      </c>
      <c r="F159" s="106" t="n">
        <f aca="false">E159*Y159</f>
        <v>0</v>
      </c>
      <c r="G159" s="118" t="n">
        <f aca="false">VLOOKUP($A159,Table,MATCH(G$4,Curves,0))</f>
        <v>3</v>
      </c>
      <c r="H159" s="119" t="n">
        <f aca="false">G159+$H$7</f>
        <v>3</v>
      </c>
      <c r="I159" s="118" t="n">
        <f aca="false">'Inputs-Summary'!$B$16</f>
        <v>1.85</v>
      </c>
      <c r="J159" s="118" t="n">
        <f aca="false">VLOOKUP($A159,Table,MATCH(J$4,Curves,0))</f>
        <v>5</v>
      </c>
      <c r="K159" s="119" t="n">
        <f aca="false">J159+$K$7</f>
        <v>5</v>
      </c>
      <c r="L159" s="120" t="n">
        <f aca="false">K159</f>
        <v>5</v>
      </c>
      <c r="M159" s="118" t="n">
        <f aca="false">VLOOKUP($A159,Table,MATCH(M$4,Curves,0))</f>
        <v>5</v>
      </c>
      <c r="N159" s="119" t="n">
        <f aca="false">M159+$N$7</f>
        <v>5</v>
      </c>
      <c r="O159" s="120" t="n">
        <f aca="false">N159</f>
        <v>5</v>
      </c>
      <c r="P159" s="109"/>
      <c r="Q159" s="120" t="n">
        <f aca="false">IF($F$3=1,M159+J159+G159,J159+G159)</f>
        <v>8</v>
      </c>
      <c r="R159" s="120" t="n">
        <f aca="false">IF($F$3=1,N159+K159+H159,K159+H159)</f>
        <v>8</v>
      </c>
      <c r="S159" s="120" t="n">
        <f aca="false">IF($F$3=1,O159+L159+I159,L159+I159)</f>
        <v>6.85</v>
      </c>
      <c r="T159" s="121"/>
      <c r="U159" s="67" t="n">
        <f aca="false">A160-A159</f>
        <v>30</v>
      </c>
      <c r="V159" s="122" t="n">
        <f aca="false">CHOOSE(F$3,A160+24,A159)</f>
        <v>41791</v>
      </c>
      <c r="W159" s="67" t="n">
        <f aca="false">V159-C$3</f>
        <v>-4135</v>
      </c>
      <c r="X159" s="118" t="n">
        <f aca="false">VLOOKUP($A159,Table,MATCH(X$4,Curves,0))</f>
        <v>2</v>
      </c>
      <c r="Y159" s="123" t="n">
        <f aca="false">1/(1+CHOOSE(F$3,(X160+($K$3/10000))/2,(X159+($K$3/10000))/2))^(2*W159/365.25)</f>
        <v>6545291.47746822</v>
      </c>
      <c r="Z159" s="67" t="n">
        <f aca="false">IF(AND(mthbeg&lt;=A159,mthend&gt;=A159),1,0)</f>
        <v>0</v>
      </c>
      <c r="AA159" s="67" t="n">
        <f aca="false">U159*Z159</f>
        <v>0</v>
      </c>
      <c r="AC159" s="110" t="n">
        <f aca="false">F159*(H159-I159)</f>
        <v>0</v>
      </c>
      <c r="AD159" s="49"/>
      <c r="AE159" s="124"/>
    </row>
    <row r="160" customFormat="false" ht="12.75" hidden="false" customHeight="false" outlineLevel="0" collapsed="false">
      <c r="A160" s="115" t="n">
        <f aca="false">EDATE(A159,1)</f>
        <v>41821</v>
      </c>
      <c r="B160" s="116" t="n">
        <f aca="false">'Inputs-Summary'!$B$7</f>
        <v>3017157.21662952</v>
      </c>
      <c r="C160" s="57"/>
      <c r="D160" s="117" t="n">
        <f aca="false">B160+C160</f>
        <v>3017157.21662952</v>
      </c>
      <c r="E160" s="106" t="n">
        <f aca="false">IF(Z160=0,0,IF(AND(Z160=1,$H$3=1),D160*U160,IF($H$3=2,D160,"N/A")))</f>
        <v>0</v>
      </c>
      <c r="F160" s="106" t="n">
        <f aca="false">E160*Y160</f>
        <v>0</v>
      </c>
      <c r="G160" s="118" t="n">
        <f aca="false">VLOOKUP($A160,Table,MATCH(G$4,Curves,0))</f>
        <v>3</v>
      </c>
      <c r="H160" s="119" t="n">
        <f aca="false">G160+$H$7</f>
        <v>3</v>
      </c>
      <c r="I160" s="118" t="n">
        <f aca="false">'Inputs-Summary'!$B$16</f>
        <v>1.85</v>
      </c>
      <c r="J160" s="118" t="n">
        <f aca="false">VLOOKUP($A160,Table,MATCH(J$4,Curves,0))</f>
        <v>5</v>
      </c>
      <c r="K160" s="119" t="n">
        <f aca="false">J160+$K$7</f>
        <v>5</v>
      </c>
      <c r="L160" s="120" t="n">
        <f aca="false">K160</f>
        <v>5</v>
      </c>
      <c r="M160" s="118" t="n">
        <f aca="false">VLOOKUP($A160,Table,MATCH(M$4,Curves,0))</f>
        <v>5</v>
      </c>
      <c r="N160" s="119" t="n">
        <f aca="false">M160+$N$7</f>
        <v>5</v>
      </c>
      <c r="O160" s="120" t="n">
        <f aca="false">N160</f>
        <v>5</v>
      </c>
      <c r="P160" s="109"/>
      <c r="Q160" s="120" t="n">
        <f aca="false">IF($F$3=1,M160+J160+G160,J160+G160)</f>
        <v>8</v>
      </c>
      <c r="R160" s="120" t="n">
        <f aca="false">IF($F$3=1,N160+K160+H160,K160+H160)</f>
        <v>8</v>
      </c>
      <c r="S160" s="120" t="n">
        <f aca="false">IF($F$3=1,O160+L160+I160,L160+I160)</f>
        <v>6.85</v>
      </c>
      <c r="T160" s="121"/>
      <c r="U160" s="67" t="n">
        <f aca="false">A161-A160</f>
        <v>31</v>
      </c>
      <c r="V160" s="122" t="n">
        <f aca="false">CHOOSE(F$3,A161+24,A160)</f>
        <v>41821</v>
      </c>
      <c r="W160" s="67" t="n">
        <f aca="false">V160-C$3</f>
        <v>-4105</v>
      </c>
      <c r="X160" s="118" t="n">
        <f aca="false">VLOOKUP($A160,Table,MATCH(X$4,Curves,0))</f>
        <v>2</v>
      </c>
      <c r="Y160" s="123" t="n">
        <f aca="false">1/(1+CHOOSE(F$3,(X161+($K$3/10000))/2,(X160+($K$3/10000))/2))^(2*W160/365.25)</f>
        <v>5840882.62307727</v>
      </c>
      <c r="Z160" s="67" t="n">
        <f aca="false">IF(AND(mthbeg&lt;=A160,mthend&gt;=A160),1,0)</f>
        <v>0</v>
      </c>
      <c r="AA160" s="67" t="n">
        <f aca="false">U160*Z160</f>
        <v>0</v>
      </c>
      <c r="AC160" s="110" t="n">
        <f aca="false">F160*(H160-I160)</f>
        <v>0</v>
      </c>
      <c r="AD160" s="49"/>
      <c r="AE160" s="124"/>
    </row>
    <row r="161" customFormat="false" ht="12.75" hidden="false" customHeight="false" outlineLevel="0" collapsed="false">
      <c r="A161" s="115" t="n">
        <f aca="false">EDATE(A160,1)</f>
        <v>41852</v>
      </c>
      <c r="B161" s="116" t="n">
        <f aca="false">'Inputs-Summary'!$B$7</f>
        <v>3017157.21662952</v>
      </c>
      <c r="C161" s="57"/>
      <c r="D161" s="117" t="n">
        <f aca="false">B161+C161</f>
        <v>3017157.21662952</v>
      </c>
      <c r="E161" s="106" t="n">
        <f aca="false">IF(Z161=0,0,IF(AND(Z161=1,$H$3=1),D161*U161,IF($H$3=2,D161,"N/A")))</f>
        <v>0</v>
      </c>
      <c r="F161" s="106" t="n">
        <f aca="false">E161*Y161</f>
        <v>0</v>
      </c>
      <c r="G161" s="118" t="n">
        <f aca="false">VLOOKUP($A161,Table,MATCH(G$4,Curves,0))</f>
        <v>3</v>
      </c>
      <c r="H161" s="119" t="n">
        <f aca="false">G161+$H$7</f>
        <v>3</v>
      </c>
      <c r="I161" s="118" t="n">
        <f aca="false">'Inputs-Summary'!$B$16</f>
        <v>1.85</v>
      </c>
      <c r="J161" s="118" t="n">
        <f aca="false">VLOOKUP($A161,Table,MATCH(J$4,Curves,0))</f>
        <v>5</v>
      </c>
      <c r="K161" s="119" t="n">
        <f aca="false">J161+$K$7</f>
        <v>5</v>
      </c>
      <c r="L161" s="120" t="n">
        <f aca="false">K161</f>
        <v>5</v>
      </c>
      <c r="M161" s="118" t="n">
        <f aca="false">VLOOKUP($A161,Table,MATCH(M$4,Curves,0))</f>
        <v>5</v>
      </c>
      <c r="N161" s="119" t="n">
        <f aca="false">M161+$N$7</f>
        <v>5</v>
      </c>
      <c r="O161" s="120" t="n">
        <f aca="false">N161</f>
        <v>5</v>
      </c>
      <c r="P161" s="109"/>
      <c r="Q161" s="120" t="n">
        <f aca="false">IF($F$3=1,M161+J161+G161,J161+G161)</f>
        <v>8</v>
      </c>
      <c r="R161" s="120" t="n">
        <f aca="false">IF($F$3=1,N161+K161+H161,K161+H161)</f>
        <v>8</v>
      </c>
      <c r="S161" s="120" t="n">
        <f aca="false">IF($F$3=1,O161+L161+I161,L161+I161)</f>
        <v>6.85</v>
      </c>
      <c r="T161" s="121"/>
      <c r="U161" s="67" t="n">
        <f aca="false">A162-A161</f>
        <v>31</v>
      </c>
      <c r="V161" s="122" t="n">
        <f aca="false">CHOOSE(F$3,A162+24,A161)</f>
        <v>41852</v>
      </c>
      <c r="W161" s="67" t="n">
        <f aca="false">V161-C$3</f>
        <v>-4074</v>
      </c>
      <c r="X161" s="118" t="n">
        <f aca="false">VLOOKUP($A161,Table,MATCH(X$4,Curves,0))</f>
        <v>2</v>
      </c>
      <c r="Y161" s="123" t="n">
        <f aca="false">1/(1+CHOOSE(F$3,(X162+($K$3/10000))/2,(X161+($K$3/10000))/2))^(2*W161/365.25)</f>
        <v>5192537.19089269</v>
      </c>
      <c r="Z161" s="67" t="n">
        <f aca="false">IF(AND(mthbeg&lt;=A161,mthend&gt;=A161),1,0)</f>
        <v>0</v>
      </c>
      <c r="AA161" s="67" t="n">
        <f aca="false">U161*Z161</f>
        <v>0</v>
      </c>
      <c r="AC161" s="110" t="n">
        <f aca="false">F161*(H161-I161)</f>
        <v>0</v>
      </c>
      <c r="AD161" s="49"/>
      <c r="AE161" s="124"/>
    </row>
    <row r="162" customFormat="false" ht="12.75" hidden="false" customHeight="false" outlineLevel="0" collapsed="false">
      <c r="A162" s="115" t="n">
        <f aca="false">EDATE(A161,1)</f>
        <v>41883</v>
      </c>
      <c r="B162" s="116" t="n">
        <f aca="false">'Inputs-Summary'!$B$7</f>
        <v>3017157.21662952</v>
      </c>
      <c r="C162" s="57"/>
      <c r="D162" s="117" t="n">
        <f aca="false">B162+C162</f>
        <v>3017157.21662952</v>
      </c>
      <c r="E162" s="106" t="n">
        <f aca="false">IF(Z162=0,0,IF(AND(Z162=1,$H$3=1),D162*U162,IF($H$3=2,D162,"N/A")))</f>
        <v>0</v>
      </c>
      <c r="F162" s="106" t="n">
        <f aca="false">E162*Y162</f>
        <v>0</v>
      </c>
      <c r="G162" s="118" t="n">
        <f aca="false">VLOOKUP($A162,Table,MATCH(G$4,Curves,0))</f>
        <v>3</v>
      </c>
      <c r="H162" s="119" t="n">
        <f aca="false">G162+$H$7</f>
        <v>3</v>
      </c>
      <c r="I162" s="118" t="n">
        <f aca="false">'Inputs-Summary'!$B$16</f>
        <v>1.85</v>
      </c>
      <c r="J162" s="118" t="n">
        <f aca="false">VLOOKUP($A162,Table,MATCH(J$4,Curves,0))</f>
        <v>5</v>
      </c>
      <c r="K162" s="119" t="n">
        <f aca="false">J162+$K$7</f>
        <v>5</v>
      </c>
      <c r="L162" s="120" t="n">
        <f aca="false">K162</f>
        <v>5</v>
      </c>
      <c r="M162" s="118" t="n">
        <f aca="false">VLOOKUP($A162,Table,MATCH(M$4,Curves,0))</f>
        <v>5</v>
      </c>
      <c r="N162" s="119" t="n">
        <f aca="false">M162+$N$7</f>
        <v>5</v>
      </c>
      <c r="O162" s="120" t="n">
        <f aca="false">N162</f>
        <v>5</v>
      </c>
      <c r="P162" s="109"/>
      <c r="Q162" s="120" t="n">
        <f aca="false">IF($F$3=1,M162+J162+G162,J162+G162)</f>
        <v>8</v>
      </c>
      <c r="R162" s="120" t="n">
        <f aca="false">IF($F$3=1,N162+K162+H162,K162+H162)</f>
        <v>8</v>
      </c>
      <c r="S162" s="120" t="n">
        <f aca="false">IF($F$3=1,O162+L162+I162,L162+I162)</f>
        <v>6.85</v>
      </c>
      <c r="T162" s="121"/>
      <c r="U162" s="67" t="n">
        <f aca="false">A163-A162</f>
        <v>30</v>
      </c>
      <c r="V162" s="122" t="n">
        <f aca="false">CHOOSE(F$3,A163+24,A162)</f>
        <v>41883</v>
      </c>
      <c r="W162" s="67" t="n">
        <f aca="false">V162-C$3</f>
        <v>-4043</v>
      </c>
      <c r="X162" s="118" t="n">
        <f aca="false">VLOOKUP($A162,Table,MATCH(X$4,Curves,0))</f>
        <v>2</v>
      </c>
      <c r="Y162" s="123" t="n">
        <f aca="false">1/(1+CHOOSE(F$3,(X163+($K$3/10000))/2,(X162+($K$3/10000))/2))^(2*W162/365.25)</f>
        <v>4616158.92986367</v>
      </c>
      <c r="Z162" s="67" t="n">
        <f aca="false">IF(AND(mthbeg&lt;=A162,mthend&gt;=A162),1,0)</f>
        <v>0</v>
      </c>
      <c r="AA162" s="67" t="n">
        <f aca="false">U162*Z162</f>
        <v>0</v>
      </c>
      <c r="AC162" s="110" t="n">
        <f aca="false">F162*(H162-I162)</f>
        <v>0</v>
      </c>
      <c r="AD162" s="49"/>
      <c r="AE162" s="124"/>
    </row>
    <row r="163" customFormat="false" ht="12.75" hidden="false" customHeight="false" outlineLevel="0" collapsed="false">
      <c r="A163" s="115" t="n">
        <f aca="false">EDATE(A162,1)</f>
        <v>41913</v>
      </c>
      <c r="B163" s="116" t="n">
        <f aca="false">'Inputs-Summary'!$B$7</f>
        <v>3017157.21662952</v>
      </c>
      <c r="C163" s="57"/>
      <c r="D163" s="117" t="n">
        <f aca="false">B163+C163</f>
        <v>3017157.21662952</v>
      </c>
      <c r="E163" s="106" t="n">
        <f aca="false">IF(Z163=0,0,IF(AND(Z163=1,$H$3=1),D163*U163,IF($H$3=2,D163,"N/A")))</f>
        <v>0</v>
      </c>
      <c r="F163" s="106" t="n">
        <f aca="false">E163*Y163</f>
        <v>0</v>
      </c>
      <c r="G163" s="118" t="n">
        <f aca="false">VLOOKUP($A163,Table,MATCH(G$4,Curves,0))</f>
        <v>3</v>
      </c>
      <c r="H163" s="119" t="n">
        <f aca="false">G163+$H$7</f>
        <v>3</v>
      </c>
      <c r="I163" s="118" t="n">
        <f aca="false">'Inputs-Summary'!$B$16</f>
        <v>1.85</v>
      </c>
      <c r="J163" s="118" t="n">
        <f aca="false">VLOOKUP($A163,Table,MATCH(J$4,Curves,0))</f>
        <v>5</v>
      </c>
      <c r="K163" s="119" t="n">
        <f aca="false">J163+$K$7</f>
        <v>5</v>
      </c>
      <c r="L163" s="120" t="n">
        <f aca="false">K163</f>
        <v>5</v>
      </c>
      <c r="M163" s="118" t="n">
        <f aca="false">VLOOKUP($A163,Table,MATCH(M$4,Curves,0))</f>
        <v>5</v>
      </c>
      <c r="N163" s="119" t="n">
        <f aca="false">M163+$N$7</f>
        <v>5</v>
      </c>
      <c r="O163" s="120" t="n">
        <f aca="false">N163</f>
        <v>5</v>
      </c>
      <c r="P163" s="109"/>
      <c r="Q163" s="120" t="n">
        <f aca="false">IF($F$3=1,M163+J163+G163,J163+G163)</f>
        <v>8</v>
      </c>
      <c r="R163" s="120" t="n">
        <f aca="false">IF($F$3=1,N163+K163+H163,K163+H163)</f>
        <v>8</v>
      </c>
      <c r="S163" s="120" t="n">
        <f aca="false">IF($F$3=1,O163+L163+I163,L163+I163)</f>
        <v>6.85</v>
      </c>
      <c r="T163" s="121"/>
      <c r="U163" s="67" t="n">
        <f aca="false">A164-A163</f>
        <v>31</v>
      </c>
      <c r="V163" s="122" t="n">
        <f aca="false">CHOOSE(F$3,A164+24,A163)</f>
        <v>41913</v>
      </c>
      <c r="W163" s="67" t="n">
        <f aca="false">V163-C$3</f>
        <v>-4013</v>
      </c>
      <c r="X163" s="118" t="n">
        <f aca="false">VLOOKUP($A163,Table,MATCH(X$4,Curves,0))</f>
        <v>2</v>
      </c>
      <c r="Y163" s="123" t="n">
        <f aca="false">1/(1+CHOOSE(F$3,(X164+($K$3/10000))/2,(X163+($K$3/10000))/2))^(2*W163/365.25)</f>
        <v>4119364.6717828</v>
      </c>
      <c r="Z163" s="67" t="n">
        <f aca="false">IF(AND(mthbeg&lt;=A163,mthend&gt;=A163),1,0)</f>
        <v>0</v>
      </c>
      <c r="AA163" s="67" t="n">
        <f aca="false">U163*Z163</f>
        <v>0</v>
      </c>
      <c r="AC163" s="110" t="n">
        <f aca="false">F163*(H163-I163)</f>
        <v>0</v>
      </c>
      <c r="AD163" s="49"/>
      <c r="AE163" s="124"/>
    </row>
    <row r="164" customFormat="false" ht="12.75" hidden="false" customHeight="false" outlineLevel="0" collapsed="false">
      <c r="A164" s="115" t="n">
        <f aca="false">EDATE(A163,1)</f>
        <v>41944</v>
      </c>
      <c r="B164" s="116" t="n">
        <f aca="false">'Inputs-Summary'!$B$7</f>
        <v>3017157.21662952</v>
      </c>
      <c r="C164" s="57"/>
      <c r="D164" s="117" t="n">
        <f aca="false">B164+C164</f>
        <v>3017157.21662952</v>
      </c>
      <c r="E164" s="106" t="n">
        <f aca="false">IF(Z164=0,0,IF(AND(Z164=1,$H$3=1),D164*U164,IF($H$3=2,D164,"N/A")))</f>
        <v>0</v>
      </c>
      <c r="F164" s="106" t="n">
        <f aca="false">E164*Y164</f>
        <v>0</v>
      </c>
      <c r="G164" s="118" t="n">
        <f aca="false">VLOOKUP($A164,Table,MATCH(G$4,Curves,0))</f>
        <v>3</v>
      </c>
      <c r="H164" s="119" t="n">
        <f aca="false">G164+$H$7</f>
        <v>3</v>
      </c>
      <c r="I164" s="118" t="n">
        <f aca="false">'Inputs-Summary'!$B$16</f>
        <v>1.85</v>
      </c>
      <c r="J164" s="118" t="n">
        <f aca="false">VLOOKUP($A164,Table,MATCH(J$4,Curves,0))</f>
        <v>5</v>
      </c>
      <c r="K164" s="119" t="n">
        <f aca="false">J164+$K$7</f>
        <v>5</v>
      </c>
      <c r="L164" s="120" t="n">
        <f aca="false">K164</f>
        <v>5</v>
      </c>
      <c r="M164" s="118" t="n">
        <f aca="false">VLOOKUP($A164,Table,MATCH(M$4,Curves,0))</f>
        <v>5</v>
      </c>
      <c r="N164" s="119" t="n">
        <f aca="false">M164+$N$7</f>
        <v>5</v>
      </c>
      <c r="O164" s="120" t="n">
        <f aca="false">N164</f>
        <v>5</v>
      </c>
      <c r="P164" s="109"/>
      <c r="Q164" s="120" t="n">
        <f aca="false">IF($F$3=1,M164+J164+G164,J164+G164)</f>
        <v>8</v>
      </c>
      <c r="R164" s="120" t="n">
        <f aca="false">IF($F$3=1,N164+K164+H164,K164+H164)</f>
        <v>8</v>
      </c>
      <c r="S164" s="120" t="n">
        <f aca="false">IF($F$3=1,O164+L164+I164,L164+I164)</f>
        <v>6.85</v>
      </c>
      <c r="T164" s="121"/>
      <c r="U164" s="67" t="n">
        <f aca="false">A165-A164</f>
        <v>30</v>
      </c>
      <c r="V164" s="122" t="n">
        <f aca="false">CHOOSE(F$3,A165+24,A164)</f>
        <v>41944</v>
      </c>
      <c r="W164" s="67" t="n">
        <f aca="false">V164-C$3</f>
        <v>-3982</v>
      </c>
      <c r="X164" s="118" t="n">
        <f aca="false">VLOOKUP($A164,Table,MATCH(X$4,Curves,0))</f>
        <v>2</v>
      </c>
      <c r="Y164" s="123" t="n">
        <f aca="false">1/(1+CHOOSE(F$3,(X165+($K$3/10000))/2,(X164+($K$3/10000))/2))^(2*W164/365.25)</f>
        <v>3662109.93122343</v>
      </c>
      <c r="Z164" s="67" t="n">
        <f aca="false">IF(AND(mthbeg&lt;=A164,mthend&gt;=A164),1,0)</f>
        <v>0</v>
      </c>
      <c r="AA164" s="67" t="n">
        <f aca="false">U164*Z164</f>
        <v>0</v>
      </c>
      <c r="AC164" s="110" t="n">
        <f aca="false">F164*(H164-I164)</f>
        <v>0</v>
      </c>
      <c r="AD164" s="49"/>
      <c r="AE164" s="124"/>
    </row>
    <row r="165" customFormat="false" ht="12.75" hidden="false" customHeight="false" outlineLevel="0" collapsed="false">
      <c r="A165" s="115" t="n">
        <f aca="false">EDATE(A164,1)</f>
        <v>41974</v>
      </c>
      <c r="B165" s="116" t="n">
        <f aca="false">'Inputs-Summary'!$B$7</f>
        <v>3017157.21662952</v>
      </c>
      <c r="C165" s="57"/>
      <c r="D165" s="117" t="n">
        <f aca="false">B165+C165</f>
        <v>3017157.21662952</v>
      </c>
      <c r="E165" s="106" t="n">
        <f aca="false">IF(Z165=0,0,IF(AND(Z165=1,$H$3=1),D165*U165,IF($H$3=2,D165,"N/A")))</f>
        <v>0</v>
      </c>
      <c r="F165" s="106" t="n">
        <f aca="false">E165*Y165</f>
        <v>0</v>
      </c>
      <c r="G165" s="118" t="n">
        <f aca="false">VLOOKUP($A165,Table,MATCH(G$4,Curves,0))</f>
        <v>3</v>
      </c>
      <c r="H165" s="119" t="n">
        <f aca="false">G165+$H$7</f>
        <v>3</v>
      </c>
      <c r="I165" s="118" t="n">
        <f aca="false">'Inputs-Summary'!$B$16</f>
        <v>1.85</v>
      </c>
      <c r="J165" s="118" t="n">
        <f aca="false">VLOOKUP($A165,Table,MATCH(J$4,Curves,0))</f>
        <v>5</v>
      </c>
      <c r="K165" s="119" t="n">
        <f aca="false">J165+$K$7</f>
        <v>5</v>
      </c>
      <c r="L165" s="120" t="n">
        <f aca="false">K165</f>
        <v>5</v>
      </c>
      <c r="M165" s="118" t="n">
        <f aca="false">VLOOKUP($A165,Table,MATCH(M$4,Curves,0))</f>
        <v>5</v>
      </c>
      <c r="N165" s="119" t="n">
        <f aca="false">M165+$N$7</f>
        <v>5</v>
      </c>
      <c r="O165" s="120" t="n">
        <f aca="false">N165</f>
        <v>5</v>
      </c>
      <c r="P165" s="109"/>
      <c r="Q165" s="120" t="n">
        <f aca="false">IF($F$3=1,M165+J165+G165,J165+G165)</f>
        <v>8</v>
      </c>
      <c r="R165" s="120" t="n">
        <f aca="false">IF($F$3=1,N165+K165+H165,K165+H165)</f>
        <v>8</v>
      </c>
      <c r="S165" s="120" t="n">
        <f aca="false">IF($F$3=1,O165+L165+I165,L165+I165)</f>
        <v>6.85</v>
      </c>
      <c r="T165" s="121"/>
      <c r="U165" s="67" t="n">
        <f aca="false">A166-A165</f>
        <v>31</v>
      </c>
      <c r="V165" s="122" t="n">
        <f aca="false">CHOOSE(F$3,A166+24,A165)</f>
        <v>41974</v>
      </c>
      <c r="W165" s="67" t="n">
        <f aca="false">V165-C$3</f>
        <v>-3952</v>
      </c>
      <c r="X165" s="118" t="n">
        <f aca="false">VLOOKUP($A165,Table,MATCH(X$4,Curves,0))</f>
        <v>2</v>
      </c>
      <c r="Y165" s="123" t="n">
        <f aca="false">1/(1+CHOOSE(F$3,(X166+($K$3/10000))/2,(X165+($K$3/10000))/2))^(2*W165/365.25)</f>
        <v>3267991.09477634</v>
      </c>
      <c r="Z165" s="67" t="n">
        <f aca="false">IF(AND(mthbeg&lt;=A165,mthend&gt;=A165),1,0)</f>
        <v>0</v>
      </c>
      <c r="AA165" s="67" t="n">
        <f aca="false">U165*Z165</f>
        <v>0</v>
      </c>
      <c r="AC165" s="110" t="n">
        <f aca="false">F165*(H165-I165)</f>
        <v>0</v>
      </c>
      <c r="AD165" s="49"/>
      <c r="AE165" s="124"/>
    </row>
    <row r="166" customFormat="false" ht="12.75" hidden="false" customHeight="false" outlineLevel="0" collapsed="false">
      <c r="A166" s="115" t="n">
        <f aca="false">EDATE(A165,1)</f>
        <v>42005</v>
      </c>
      <c r="B166" s="116" t="n">
        <f aca="false">'Inputs-Summary'!$B$7</f>
        <v>3017157.21662952</v>
      </c>
      <c r="C166" s="57"/>
      <c r="D166" s="117" t="n">
        <f aca="false">B166+C166</f>
        <v>3017157.21662952</v>
      </c>
      <c r="E166" s="106" t="n">
        <f aca="false">IF(Z166=0,0,IF(AND(Z166=1,$H$3=1),D166*U166,IF($H$3=2,D166,"N/A")))</f>
        <v>0</v>
      </c>
      <c r="F166" s="106" t="n">
        <f aca="false">E166*Y166</f>
        <v>0</v>
      </c>
      <c r="G166" s="118" t="n">
        <f aca="false">VLOOKUP($A166,Table,MATCH(G$4,Curves,0))</f>
        <v>3</v>
      </c>
      <c r="H166" s="119" t="n">
        <f aca="false">G166+$H$7</f>
        <v>3</v>
      </c>
      <c r="I166" s="118" t="n">
        <f aca="false">'Inputs-Summary'!$B$16</f>
        <v>1.85</v>
      </c>
      <c r="J166" s="118" t="n">
        <f aca="false">VLOOKUP($A166,Table,MATCH(J$4,Curves,0))</f>
        <v>5</v>
      </c>
      <c r="K166" s="119" t="n">
        <f aca="false">J166+$K$7</f>
        <v>5</v>
      </c>
      <c r="L166" s="120" t="n">
        <f aca="false">K166</f>
        <v>5</v>
      </c>
      <c r="M166" s="118" t="n">
        <f aca="false">VLOOKUP($A166,Table,MATCH(M$4,Curves,0))</f>
        <v>5</v>
      </c>
      <c r="N166" s="119" t="n">
        <f aca="false">M166+$N$7</f>
        <v>5</v>
      </c>
      <c r="O166" s="120" t="n">
        <f aca="false">N166</f>
        <v>5</v>
      </c>
      <c r="P166" s="109"/>
      <c r="Q166" s="120" t="n">
        <f aca="false">IF($F$3=1,M166+J166+G166,J166+G166)</f>
        <v>8</v>
      </c>
      <c r="R166" s="120" t="n">
        <f aca="false">IF($F$3=1,N166+K166+H166,K166+H166)</f>
        <v>8</v>
      </c>
      <c r="S166" s="120" t="n">
        <f aca="false">IF($F$3=1,O166+L166+I166,L166+I166)</f>
        <v>6.85</v>
      </c>
      <c r="T166" s="121"/>
      <c r="U166" s="67" t="n">
        <f aca="false">A167-A166</f>
        <v>31</v>
      </c>
      <c r="V166" s="122" t="n">
        <f aca="false">CHOOSE(F$3,A167+24,A166)</f>
        <v>42005</v>
      </c>
      <c r="W166" s="67" t="n">
        <f aca="false">V166-C$3</f>
        <v>-3921</v>
      </c>
      <c r="X166" s="118" t="n">
        <f aca="false">VLOOKUP($A166,Table,MATCH(X$4,Curves,0))</f>
        <v>2</v>
      </c>
      <c r="Y166" s="123" t="n">
        <f aca="false">1/(1+CHOOSE(F$3,(X167+($K$3/10000))/2,(X166+($K$3/10000))/2))^(2*W166/365.25)</f>
        <v>2905239.90879173</v>
      </c>
      <c r="Z166" s="67" t="n">
        <f aca="false">IF(AND(mthbeg&lt;=A166,mthend&gt;=A166),1,0)</f>
        <v>0</v>
      </c>
      <c r="AA166" s="67" t="n">
        <f aca="false">U166*Z166</f>
        <v>0</v>
      </c>
      <c r="AC166" s="110" t="n">
        <f aca="false">F166*(H166-I166)</f>
        <v>0</v>
      </c>
      <c r="AD166" s="49"/>
      <c r="AE166" s="124"/>
    </row>
    <row r="167" customFormat="false" ht="12.75" hidden="false" customHeight="false" outlineLevel="0" collapsed="false">
      <c r="A167" s="115" t="n">
        <f aca="false">EDATE(A166,1)</f>
        <v>42036</v>
      </c>
      <c r="B167" s="116" t="n">
        <f aca="false">'Inputs-Summary'!$B$7</f>
        <v>3017157.21662952</v>
      </c>
      <c r="C167" s="57"/>
      <c r="D167" s="117" t="n">
        <f aca="false">B167+C167</f>
        <v>3017157.21662952</v>
      </c>
      <c r="E167" s="106" t="n">
        <f aca="false">IF(Z167=0,0,IF(AND(Z167=1,$H$3=1),D167*U167,IF($H$3=2,D167,"N/A")))</f>
        <v>0</v>
      </c>
      <c r="F167" s="106" t="n">
        <f aca="false">E167*Y167</f>
        <v>0</v>
      </c>
      <c r="G167" s="118" t="n">
        <f aca="false">VLOOKUP($A167,Table,MATCH(G$4,Curves,0))</f>
        <v>3</v>
      </c>
      <c r="H167" s="119" t="n">
        <f aca="false">G167+$H$7</f>
        <v>3</v>
      </c>
      <c r="I167" s="118" t="n">
        <f aca="false">'Inputs-Summary'!$B$16</f>
        <v>1.85</v>
      </c>
      <c r="J167" s="118" t="n">
        <f aca="false">VLOOKUP($A167,Table,MATCH(J$4,Curves,0))</f>
        <v>5</v>
      </c>
      <c r="K167" s="119" t="n">
        <f aca="false">J167+$K$7</f>
        <v>5</v>
      </c>
      <c r="L167" s="120" t="n">
        <f aca="false">K167</f>
        <v>5</v>
      </c>
      <c r="M167" s="118" t="n">
        <f aca="false">VLOOKUP($A167,Table,MATCH(M$4,Curves,0))</f>
        <v>5</v>
      </c>
      <c r="N167" s="119" t="n">
        <f aca="false">M167+$N$7</f>
        <v>5</v>
      </c>
      <c r="O167" s="120" t="n">
        <f aca="false">N167</f>
        <v>5</v>
      </c>
      <c r="P167" s="109"/>
      <c r="Q167" s="120" t="n">
        <f aca="false">IF($F$3=1,M167+J167+G167,J167+G167)</f>
        <v>8</v>
      </c>
      <c r="R167" s="120" t="n">
        <f aca="false">IF($F$3=1,N167+K167+H167,K167+H167)</f>
        <v>8</v>
      </c>
      <c r="S167" s="120" t="n">
        <f aca="false">IF($F$3=1,O167+L167+I167,L167+I167)</f>
        <v>6.85</v>
      </c>
      <c r="T167" s="121"/>
      <c r="U167" s="67" t="n">
        <f aca="false">A168-A167</f>
        <v>28</v>
      </c>
      <c r="V167" s="122" t="n">
        <f aca="false">CHOOSE(F$3,A168+24,A167)</f>
        <v>42036</v>
      </c>
      <c r="W167" s="67" t="n">
        <f aca="false">V167-C$3</f>
        <v>-3890</v>
      </c>
      <c r="X167" s="118" t="n">
        <f aca="false">VLOOKUP($A167,Table,MATCH(X$4,Curves,0))</f>
        <v>2</v>
      </c>
      <c r="Y167" s="123" t="n">
        <f aca="false">1/(1+CHOOSE(F$3,(X168+($K$3/10000))/2,(X167+($K$3/10000))/2))^(2*W167/365.25)</f>
        <v>2582754.56782231</v>
      </c>
      <c r="Z167" s="67" t="n">
        <f aca="false">IF(AND(mthbeg&lt;=A167,mthend&gt;=A167),1,0)</f>
        <v>0</v>
      </c>
      <c r="AA167" s="67" t="n">
        <f aca="false">U167*Z167</f>
        <v>0</v>
      </c>
      <c r="AC167" s="110" t="n">
        <f aca="false">F167*(H167-I167)</f>
        <v>0</v>
      </c>
      <c r="AD167" s="49"/>
      <c r="AE167" s="124"/>
    </row>
    <row r="168" customFormat="false" ht="12.75" hidden="false" customHeight="false" outlineLevel="0" collapsed="false">
      <c r="A168" s="115" t="n">
        <f aca="false">EDATE(A167,1)</f>
        <v>42064</v>
      </c>
      <c r="B168" s="116" t="n">
        <f aca="false">'Inputs-Summary'!$B$7</f>
        <v>3017157.21662952</v>
      </c>
      <c r="C168" s="57"/>
      <c r="D168" s="117" t="n">
        <f aca="false">B168+C168</f>
        <v>3017157.21662952</v>
      </c>
      <c r="E168" s="106" t="n">
        <f aca="false">IF(Z168=0,0,IF(AND(Z168=1,$H$3=1),D168*U168,IF($H$3=2,D168,"N/A")))</f>
        <v>0</v>
      </c>
      <c r="F168" s="106" t="n">
        <f aca="false">E168*Y168</f>
        <v>0</v>
      </c>
      <c r="G168" s="118" t="n">
        <f aca="false">VLOOKUP($A168,Table,MATCH(G$4,Curves,0))</f>
        <v>3</v>
      </c>
      <c r="H168" s="119" t="n">
        <f aca="false">G168+$H$7</f>
        <v>3</v>
      </c>
      <c r="I168" s="118" t="n">
        <f aca="false">'Inputs-Summary'!$B$16</f>
        <v>1.85</v>
      </c>
      <c r="J168" s="118" t="n">
        <f aca="false">VLOOKUP($A168,Table,MATCH(J$4,Curves,0))</f>
        <v>5</v>
      </c>
      <c r="K168" s="119" t="n">
        <f aca="false">J168+$K$7</f>
        <v>5</v>
      </c>
      <c r="L168" s="120" t="n">
        <f aca="false">K168</f>
        <v>5</v>
      </c>
      <c r="M168" s="118" t="n">
        <f aca="false">VLOOKUP($A168,Table,MATCH(M$4,Curves,0))</f>
        <v>5</v>
      </c>
      <c r="N168" s="119" t="n">
        <f aca="false">M168+$N$7</f>
        <v>5</v>
      </c>
      <c r="O168" s="120" t="n">
        <f aca="false">N168</f>
        <v>5</v>
      </c>
      <c r="P168" s="109"/>
      <c r="Q168" s="120" t="n">
        <f aca="false">IF($F$3=1,M168+J168+G168,J168+G168)</f>
        <v>8</v>
      </c>
      <c r="R168" s="120" t="n">
        <f aca="false">IF($F$3=1,N168+K168+H168,K168+H168)</f>
        <v>8</v>
      </c>
      <c r="S168" s="120" t="n">
        <f aca="false">IF($F$3=1,O168+L168+I168,L168+I168)</f>
        <v>6.85</v>
      </c>
      <c r="T168" s="121"/>
      <c r="U168" s="67" t="n">
        <f aca="false">A169-A168</f>
        <v>31</v>
      </c>
      <c r="V168" s="122" t="n">
        <f aca="false">CHOOSE(F$3,A169+24,A168)</f>
        <v>42064</v>
      </c>
      <c r="W168" s="67" t="n">
        <f aca="false">V168-C$3</f>
        <v>-3862</v>
      </c>
      <c r="X168" s="118" t="n">
        <f aca="false">VLOOKUP($A168,Table,MATCH(X$4,Curves,0))</f>
        <v>2</v>
      </c>
      <c r="Y168" s="123" t="n">
        <f aca="false">1/(1+CHOOSE(F$3,(X169+($K$3/10000))/2,(X168+($K$3/10000))/2))^(2*W168/365.25)</f>
        <v>2322358.84415772</v>
      </c>
      <c r="Z168" s="67" t="n">
        <f aca="false">IF(AND(mthbeg&lt;=A168,mthend&gt;=A168),1,0)</f>
        <v>0</v>
      </c>
      <c r="AA168" s="67" t="n">
        <f aca="false">U168*Z168</f>
        <v>0</v>
      </c>
      <c r="AC168" s="110" t="n">
        <f aca="false">F168*(H168-I168)</f>
        <v>0</v>
      </c>
      <c r="AD168" s="49"/>
      <c r="AE168" s="124"/>
    </row>
    <row r="169" customFormat="false" ht="12.75" hidden="false" customHeight="false" outlineLevel="0" collapsed="false">
      <c r="A169" s="115" t="n">
        <f aca="false">EDATE(A168,1)</f>
        <v>42095</v>
      </c>
      <c r="B169" s="116" t="n">
        <f aca="false">'Inputs-Summary'!$B$7</f>
        <v>3017157.21662952</v>
      </c>
      <c r="C169" s="57"/>
      <c r="D169" s="117" t="n">
        <f aca="false">B169+C169</f>
        <v>3017157.21662952</v>
      </c>
      <c r="E169" s="106" t="n">
        <f aca="false">IF(Z169=0,0,IF(AND(Z169=1,$H$3=1),D169*U169,IF($H$3=2,D169,"N/A")))</f>
        <v>0</v>
      </c>
      <c r="F169" s="106" t="n">
        <f aca="false">E169*Y169</f>
        <v>0</v>
      </c>
      <c r="G169" s="118" t="n">
        <f aca="false">VLOOKUP($A169,Table,MATCH(G$4,Curves,0))</f>
        <v>3</v>
      </c>
      <c r="H169" s="119" t="n">
        <f aca="false">G169+$H$7</f>
        <v>3</v>
      </c>
      <c r="I169" s="118" t="n">
        <f aca="false">'Inputs-Summary'!$B$16</f>
        <v>1.85</v>
      </c>
      <c r="J169" s="118" t="n">
        <f aca="false">VLOOKUP($A169,Table,MATCH(J$4,Curves,0))</f>
        <v>5</v>
      </c>
      <c r="K169" s="119" t="n">
        <f aca="false">J169+$K$7</f>
        <v>5</v>
      </c>
      <c r="L169" s="120" t="n">
        <f aca="false">K169</f>
        <v>5</v>
      </c>
      <c r="M169" s="118" t="n">
        <f aca="false">VLOOKUP($A169,Table,MATCH(M$4,Curves,0))</f>
        <v>5</v>
      </c>
      <c r="N169" s="119" t="n">
        <f aca="false">M169+$N$7</f>
        <v>5</v>
      </c>
      <c r="O169" s="120" t="n">
        <f aca="false">N169</f>
        <v>5</v>
      </c>
      <c r="P169" s="109"/>
      <c r="Q169" s="120" t="n">
        <f aca="false">IF($F$3=1,M169+J169+G169,J169+G169)</f>
        <v>8</v>
      </c>
      <c r="R169" s="120" t="n">
        <f aca="false">IF($F$3=1,N169+K169+H169,K169+H169)</f>
        <v>8</v>
      </c>
      <c r="S169" s="120" t="n">
        <f aca="false">IF($F$3=1,O169+L169+I169,L169+I169)</f>
        <v>6.85</v>
      </c>
      <c r="T169" s="121"/>
      <c r="U169" s="67" t="n">
        <f aca="false">A170-A169</f>
        <v>30</v>
      </c>
      <c r="V169" s="122" t="n">
        <f aca="false">CHOOSE(F$3,A170+24,A169)</f>
        <v>42095</v>
      </c>
      <c r="W169" s="67" t="n">
        <f aca="false">V169-C$3</f>
        <v>-3831</v>
      </c>
      <c r="X169" s="118" t="n">
        <f aca="false">VLOOKUP($A169,Table,MATCH(X$4,Curves,0))</f>
        <v>2</v>
      </c>
      <c r="Y169" s="123" t="n">
        <f aca="false">1/(1+CHOOSE(F$3,(X170+($K$3/10000))/2,(X169+($K$3/10000))/2))^(2*W169/365.25)</f>
        <v>2064574.04592292</v>
      </c>
      <c r="Z169" s="67" t="n">
        <f aca="false">IF(AND(mthbeg&lt;=A169,mthend&gt;=A169),1,0)</f>
        <v>0</v>
      </c>
      <c r="AA169" s="67" t="n">
        <f aca="false">U169*Z169</f>
        <v>0</v>
      </c>
      <c r="AC169" s="110" t="n">
        <f aca="false">F169*(H169-I169)</f>
        <v>0</v>
      </c>
      <c r="AD169" s="49"/>
      <c r="AE169" s="124"/>
    </row>
    <row r="170" customFormat="false" ht="12" hidden="false" customHeight="true" outlineLevel="0" collapsed="false">
      <c r="A170" s="115" t="n">
        <f aca="false">EDATE(A169,1)</f>
        <v>42125</v>
      </c>
      <c r="B170" s="116" t="n">
        <f aca="false">'Inputs-Summary'!$B$7</f>
        <v>3017157.21662952</v>
      </c>
      <c r="C170" s="57"/>
      <c r="D170" s="117" t="n">
        <f aca="false">B170+C170</f>
        <v>3017157.21662952</v>
      </c>
      <c r="E170" s="106" t="n">
        <f aca="false">IF(Z170=0,0,IF(AND(Z170=1,$H$3=1),D170*U170,IF($H$3=2,D170,"N/A")))</f>
        <v>0</v>
      </c>
      <c r="F170" s="106" t="n">
        <f aca="false">E170*Y170</f>
        <v>0</v>
      </c>
      <c r="G170" s="118" t="n">
        <f aca="false">VLOOKUP($A170,Table,MATCH(G$4,Curves,0))</f>
        <v>3</v>
      </c>
      <c r="H170" s="119" t="n">
        <f aca="false">G170+$H$7</f>
        <v>3</v>
      </c>
      <c r="I170" s="118" t="n">
        <f aca="false">'Inputs-Summary'!$B$16</f>
        <v>1.85</v>
      </c>
      <c r="J170" s="118" t="n">
        <f aca="false">VLOOKUP($A170,Table,MATCH(J$4,Curves,0))</f>
        <v>5</v>
      </c>
      <c r="K170" s="119" t="n">
        <f aca="false">J170+$K$7</f>
        <v>5</v>
      </c>
      <c r="L170" s="120" t="n">
        <f aca="false">K170</f>
        <v>5</v>
      </c>
      <c r="M170" s="118" t="n">
        <f aca="false">VLOOKUP($A170,Table,MATCH(M$4,Curves,0))</f>
        <v>5</v>
      </c>
      <c r="N170" s="119" t="n">
        <f aca="false">M170+$N$7</f>
        <v>5</v>
      </c>
      <c r="O170" s="120" t="n">
        <f aca="false">N170</f>
        <v>5</v>
      </c>
      <c r="P170" s="109"/>
      <c r="Q170" s="120" t="n">
        <f aca="false">IF($F$3=1,M170+J170+G170,J170+G170)</f>
        <v>8</v>
      </c>
      <c r="R170" s="120" t="n">
        <f aca="false">IF($F$3=1,N170+K170+H170,K170+H170)</f>
        <v>8</v>
      </c>
      <c r="S170" s="120" t="n">
        <f aca="false">IF($F$3=1,O170+L170+I170,L170+I170)</f>
        <v>6.85</v>
      </c>
      <c r="T170" s="121"/>
      <c r="U170" s="67" t="n">
        <f aca="false">A171-A170</f>
        <v>31</v>
      </c>
      <c r="V170" s="122" t="n">
        <f aca="false">CHOOSE(F$3,A171+24,A170)</f>
        <v>42125</v>
      </c>
      <c r="W170" s="67" t="n">
        <f aca="false">V170-C$3</f>
        <v>-3801</v>
      </c>
      <c r="X170" s="118" t="n">
        <f aca="false">VLOOKUP($A170,Table,MATCH(X$4,Curves,0))</f>
        <v>2</v>
      </c>
      <c r="Y170" s="123" t="n">
        <f aca="false">1/(1+CHOOSE(F$3,(X171+($K$3/10000))/2,(X170+($K$3/10000))/2))^(2*W170/365.25)</f>
        <v>1842383.14067443</v>
      </c>
      <c r="Z170" s="67" t="n">
        <f aca="false">IF(AND(mthbeg&lt;=A170,mthend&gt;=A170),1,0)</f>
        <v>0</v>
      </c>
      <c r="AA170" s="67" t="n">
        <f aca="false">U170*Z170</f>
        <v>0</v>
      </c>
      <c r="AC170" s="110" t="n">
        <f aca="false">F170*(H170-I170)</f>
        <v>0</v>
      </c>
      <c r="AD170" s="49"/>
      <c r="AE170" s="124"/>
    </row>
    <row r="171" customFormat="false" ht="12" hidden="false" customHeight="true" outlineLevel="0" collapsed="false">
      <c r="A171" s="115" t="n">
        <f aca="false">EDATE(A170,1)</f>
        <v>42156</v>
      </c>
      <c r="B171" s="116" t="n">
        <f aca="false">'Inputs-Summary'!$B$7</f>
        <v>3017157.21662952</v>
      </c>
      <c r="C171" s="57"/>
      <c r="D171" s="117" t="n">
        <f aca="false">B171+C171</f>
        <v>3017157.21662952</v>
      </c>
      <c r="E171" s="106" t="n">
        <f aca="false">IF(Z171=0,0,IF(AND(Z171=1,$H$3=1),D171*U171,IF($H$3=2,D171,"N/A")))</f>
        <v>0</v>
      </c>
      <c r="F171" s="106" t="n">
        <f aca="false">E171*Y171</f>
        <v>0</v>
      </c>
      <c r="G171" s="118" t="n">
        <f aca="false">VLOOKUP($A171,Table,MATCH(G$4,Curves,0))</f>
        <v>3</v>
      </c>
      <c r="H171" s="119" t="n">
        <f aca="false">G171+$H$7</f>
        <v>3</v>
      </c>
      <c r="I171" s="118" t="n">
        <f aca="false">'Inputs-Summary'!$B$16</f>
        <v>1.85</v>
      </c>
      <c r="J171" s="118" t="n">
        <f aca="false">VLOOKUP($A171,Table,MATCH(J$4,Curves,0))</f>
        <v>5</v>
      </c>
      <c r="K171" s="119" t="n">
        <f aca="false">J171+$K$7</f>
        <v>5</v>
      </c>
      <c r="L171" s="120" t="n">
        <f aca="false">K171</f>
        <v>5</v>
      </c>
      <c r="M171" s="118" t="n">
        <f aca="false">VLOOKUP($A171,Table,MATCH(M$4,Curves,0))</f>
        <v>5</v>
      </c>
      <c r="N171" s="119" t="n">
        <f aca="false">M171+$N$7</f>
        <v>5</v>
      </c>
      <c r="O171" s="120" t="n">
        <f aca="false">N171</f>
        <v>5</v>
      </c>
      <c r="P171" s="109"/>
      <c r="Q171" s="120" t="n">
        <f aca="false">IF($F$3=1,M171+J171+G171,J171+G171)</f>
        <v>8</v>
      </c>
      <c r="R171" s="120" t="n">
        <f aca="false">IF($F$3=1,N171+K171+H171,K171+H171)</f>
        <v>8</v>
      </c>
      <c r="S171" s="120" t="n">
        <f aca="false">IF($F$3=1,O171+L171+I171,L171+I171)</f>
        <v>6.85</v>
      </c>
      <c r="T171" s="121"/>
      <c r="U171" s="67" t="n">
        <f aca="false">A172-A171</f>
        <v>30</v>
      </c>
      <c r="V171" s="122" t="n">
        <f aca="false">CHOOSE(F$3,A172+24,A171)</f>
        <v>42156</v>
      </c>
      <c r="W171" s="67" t="n">
        <f aca="false">V171-C$3</f>
        <v>-3770</v>
      </c>
      <c r="X171" s="118" t="n">
        <f aca="false">VLOOKUP($A171,Table,MATCH(X$4,Curves,0))</f>
        <v>2</v>
      </c>
      <c r="Y171" s="123" t="n">
        <f aca="false">1/(1+CHOOSE(F$3,(X172+($K$3/10000))/2,(X171+($K$3/10000))/2))^(2*W171/365.25)</f>
        <v>1637876.25863734</v>
      </c>
      <c r="Z171" s="67" t="n">
        <f aca="false">IF(AND(mthbeg&lt;=A171,mthend&gt;=A171),1,0)</f>
        <v>0</v>
      </c>
      <c r="AA171" s="67" t="n">
        <f aca="false">U171*Z171</f>
        <v>0</v>
      </c>
      <c r="AC171" s="110" t="n">
        <f aca="false">F171*(H171-I171)</f>
        <v>0</v>
      </c>
      <c r="AD171" s="49"/>
      <c r="AE171" s="124"/>
    </row>
    <row r="172" customFormat="false" ht="12" hidden="false" customHeight="true" outlineLevel="0" collapsed="false">
      <c r="A172" s="115" t="n">
        <f aca="false">EDATE(A171,1)</f>
        <v>42186</v>
      </c>
      <c r="B172" s="116" t="n">
        <f aca="false">'Inputs-Summary'!$B$7</f>
        <v>3017157.21662952</v>
      </c>
      <c r="C172" s="57"/>
      <c r="D172" s="117" t="n">
        <f aca="false">B172+C172</f>
        <v>3017157.21662952</v>
      </c>
      <c r="E172" s="106" t="n">
        <f aca="false">IF(Z172=0,0,IF(AND(Z172=1,$H$3=1),D172*U172,IF($H$3=2,D172,"N/A")))</f>
        <v>0</v>
      </c>
      <c r="F172" s="106" t="n">
        <f aca="false">E172*Y172</f>
        <v>0</v>
      </c>
      <c r="G172" s="118" t="n">
        <f aca="false">VLOOKUP($A172,Table,MATCH(G$4,Curves,0))</f>
        <v>3</v>
      </c>
      <c r="H172" s="119" t="n">
        <f aca="false">G172+$H$7</f>
        <v>3</v>
      </c>
      <c r="I172" s="118" t="n">
        <f aca="false">'Inputs-Summary'!$B$16</f>
        <v>1.85</v>
      </c>
      <c r="J172" s="118" t="n">
        <f aca="false">VLOOKUP($A172,Table,MATCH(J$4,Curves,0))</f>
        <v>5</v>
      </c>
      <c r="K172" s="119" t="n">
        <f aca="false">J172+$K$7</f>
        <v>5</v>
      </c>
      <c r="L172" s="120" t="n">
        <f aca="false">K172</f>
        <v>5</v>
      </c>
      <c r="M172" s="118" t="n">
        <f aca="false">VLOOKUP($A172,Table,MATCH(M$4,Curves,0))</f>
        <v>5</v>
      </c>
      <c r="N172" s="119" t="n">
        <f aca="false">M172+$N$7</f>
        <v>5</v>
      </c>
      <c r="O172" s="120" t="n">
        <f aca="false">N172</f>
        <v>5</v>
      </c>
      <c r="P172" s="109"/>
      <c r="Q172" s="120" t="n">
        <f aca="false">IF($F$3=1,M172+J172+G172,J172+G172)</f>
        <v>8</v>
      </c>
      <c r="R172" s="120" t="n">
        <f aca="false">IF($F$3=1,N172+K172+H172,K172+H172)</f>
        <v>8</v>
      </c>
      <c r="S172" s="120" t="n">
        <f aca="false">IF($F$3=1,O172+L172+I172,L172+I172)</f>
        <v>6.85</v>
      </c>
      <c r="T172" s="121"/>
      <c r="U172" s="67" t="n">
        <f aca="false">A173-A172</f>
        <v>31</v>
      </c>
      <c r="V172" s="122" t="n">
        <f aca="false">CHOOSE(F$3,A173+24,A172)</f>
        <v>42186</v>
      </c>
      <c r="W172" s="67" t="n">
        <f aca="false">V172-C$3</f>
        <v>-3740</v>
      </c>
      <c r="X172" s="118" t="n">
        <f aca="false">VLOOKUP($A172,Table,MATCH(X$4,Curves,0))</f>
        <v>2</v>
      </c>
      <c r="Y172" s="123" t="n">
        <f aca="false">1/(1+CHOOSE(F$3,(X173+($K$3/10000))/2,(X172+($K$3/10000))/2))^(2*W172/365.25)</f>
        <v>1461606.86819804</v>
      </c>
      <c r="Z172" s="67" t="n">
        <f aca="false">IF(AND(mthbeg&lt;=A172,mthend&gt;=A172),1,0)</f>
        <v>0</v>
      </c>
      <c r="AA172" s="67" t="n">
        <f aca="false">U172*Z172</f>
        <v>0</v>
      </c>
      <c r="AC172" s="110" t="n">
        <f aca="false">F172*(H172-I172)</f>
        <v>0</v>
      </c>
      <c r="AD172" s="49"/>
      <c r="AE172" s="124"/>
    </row>
    <row r="173" customFormat="false" ht="12" hidden="false" customHeight="true" outlineLevel="0" collapsed="false">
      <c r="A173" s="115" t="n">
        <f aca="false">EDATE(A172,1)</f>
        <v>42217</v>
      </c>
      <c r="B173" s="116" t="n">
        <f aca="false">'Inputs-Summary'!$B$7</f>
        <v>3017157.21662952</v>
      </c>
      <c r="C173" s="57"/>
      <c r="D173" s="117" t="n">
        <f aca="false">B173+C173</f>
        <v>3017157.21662952</v>
      </c>
      <c r="E173" s="106" t="n">
        <f aca="false">IF(Z173=0,0,IF(AND(Z173=1,$H$3=1),D173*U173,IF($H$3=2,D173,"N/A")))</f>
        <v>0</v>
      </c>
      <c r="F173" s="106" t="n">
        <f aca="false">E173*Y173</f>
        <v>0</v>
      </c>
      <c r="G173" s="118" t="n">
        <f aca="false">VLOOKUP($A173,Table,MATCH(G$4,Curves,0))</f>
        <v>3</v>
      </c>
      <c r="H173" s="119" t="n">
        <f aca="false">G173+$H$7</f>
        <v>3</v>
      </c>
      <c r="I173" s="118" t="n">
        <f aca="false">'Inputs-Summary'!$B$16</f>
        <v>1.85</v>
      </c>
      <c r="J173" s="118" t="n">
        <f aca="false">VLOOKUP($A173,Table,MATCH(J$4,Curves,0))</f>
        <v>5</v>
      </c>
      <c r="K173" s="119" t="n">
        <f aca="false">J173+$K$7</f>
        <v>5</v>
      </c>
      <c r="L173" s="120" t="n">
        <f aca="false">K173</f>
        <v>5</v>
      </c>
      <c r="M173" s="118" t="n">
        <f aca="false">VLOOKUP($A173,Table,MATCH(M$4,Curves,0))</f>
        <v>5</v>
      </c>
      <c r="N173" s="119" t="n">
        <f aca="false">M173+$N$7</f>
        <v>5</v>
      </c>
      <c r="O173" s="120" t="n">
        <f aca="false">N173</f>
        <v>5</v>
      </c>
      <c r="P173" s="109"/>
      <c r="Q173" s="120" t="n">
        <f aca="false">IF($F$3=1,M173+J173+G173,J173+G173)</f>
        <v>8</v>
      </c>
      <c r="R173" s="120" t="n">
        <f aca="false">IF($F$3=1,N173+K173+H173,K173+H173)</f>
        <v>8</v>
      </c>
      <c r="S173" s="120" t="n">
        <f aca="false">IF($F$3=1,O173+L173+I173,L173+I173)</f>
        <v>6.85</v>
      </c>
      <c r="T173" s="121"/>
      <c r="U173" s="67" t="n">
        <f aca="false">A174-A173</f>
        <v>31</v>
      </c>
      <c r="V173" s="122" t="n">
        <f aca="false">CHOOSE(F$3,A174+24,A173)</f>
        <v>42217</v>
      </c>
      <c r="W173" s="67" t="n">
        <f aca="false">V173-C$3</f>
        <v>-3709</v>
      </c>
      <c r="X173" s="118" t="n">
        <f aca="false">VLOOKUP($A173,Table,MATCH(X$4,Curves,0))</f>
        <v>2</v>
      </c>
      <c r="Y173" s="123" t="n">
        <f aca="false">1/(1+CHOOSE(F$3,(X174+($K$3/10000))/2,(X173+($K$3/10000))/2))^(2*W173/365.25)</f>
        <v>1299366.63880159</v>
      </c>
      <c r="Z173" s="67" t="n">
        <f aca="false">IF(AND(mthbeg&lt;=A173,mthend&gt;=A173),1,0)</f>
        <v>0</v>
      </c>
      <c r="AA173" s="67" t="n">
        <f aca="false">U173*Z173</f>
        <v>0</v>
      </c>
      <c r="AC173" s="110" t="n">
        <f aca="false">F173*(H173-I173)</f>
        <v>0</v>
      </c>
      <c r="AD173" s="49"/>
      <c r="AE173" s="124"/>
    </row>
    <row r="174" customFormat="false" ht="12" hidden="false" customHeight="true" outlineLevel="0" collapsed="false">
      <c r="A174" s="115" t="n">
        <f aca="false">EDATE(A173,1)</f>
        <v>42248</v>
      </c>
      <c r="B174" s="116" t="n">
        <f aca="false">'Inputs-Summary'!$B$7</f>
        <v>3017157.21662952</v>
      </c>
      <c r="C174" s="57"/>
      <c r="D174" s="117" t="n">
        <f aca="false">B174+C174</f>
        <v>3017157.21662952</v>
      </c>
      <c r="E174" s="106" t="n">
        <f aca="false">IF(Z174=0,0,IF(AND(Z174=1,$H$3=1),D174*U174,IF($H$3=2,D174,"N/A")))</f>
        <v>0</v>
      </c>
      <c r="F174" s="106" t="n">
        <f aca="false">E174*Y174</f>
        <v>0</v>
      </c>
      <c r="G174" s="118" t="n">
        <f aca="false">VLOOKUP($A174,Table,MATCH(G$4,Curves,0))</f>
        <v>3</v>
      </c>
      <c r="H174" s="119" t="n">
        <f aca="false">G174+$H$7</f>
        <v>3</v>
      </c>
      <c r="I174" s="118" t="n">
        <f aca="false">'Inputs-Summary'!$B$16</f>
        <v>1.85</v>
      </c>
      <c r="J174" s="118" t="n">
        <f aca="false">VLOOKUP($A174,Table,MATCH(J$4,Curves,0))</f>
        <v>5</v>
      </c>
      <c r="K174" s="119" t="n">
        <f aca="false">J174+$K$7</f>
        <v>5</v>
      </c>
      <c r="L174" s="120" t="n">
        <f aca="false">K174</f>
        <v>5</v>
      </c>
      <c r="M174" s="118" t="n">
        <f aca="false">VLOOKUP($A174,Table,MATCH(M$4,Curves,0))</f>
        <v>5</v>
      </c>
      <c r="N174" s="119" t="n">
        <f aca="false">M174+$N$7</f>
        <v>5</v>
      </c>
      <c r="O174" s="120" t="n">
        <f aca="false">N174</f>
        <v>5</v>
      </c>
      <c r="P174" s="109"/>
      <c r="Q174" s="120" t="n">
        <f aca="false">IF($F$3=1,M174+J174+G174,J174+G174)</f>
        <v>8</v>
      </c>
      <c r="R174" s="120" t="n">
        <f aca="false">IF($F$3=1,N174+K174+H174,K174+H174)</f>
        <v>8</v>
      </c>
      <c r="S174" s="120" t="n">
        <f aca="false">IF($F$3=1,O174+L174+I174,L174+I174)</f>
        <v>6.85</v>
      </c>
      <c r="T174" s="121"/>
      <c r="U174" s="67" t="n">
        <f aca="false">A175-A174</f>
        <v>30</v>
      </c>
      <c r="V174" s="122" t="n">
        <f aca="false">CHOOSE(F$3,A175+24,A174)</f>
        <v>42248</v>
      </c>
      <c r="W174" s="67" t="n">
        <f aca="false">V174-C$3</f>
        <v>-3678</v>
      </c>
      <c r="X174" s="118" t="n">
        <f aca="false">VLOOKUP($A174,Table,MATCH(X$4,Curves,0))</f>
        <v>2</v>
      </c>
      <c r="Y174" s="123" t="n">
        <f aca="false">1/(1+CHOOSE(F$3,(X175+($K$3/10000))/2,(X174+($K$3/10000))/2))^(2*W174/365.25)</f>
        <v>1155135.28211046</v>
      </c>
      <c r="Z174" s="67" t="n">
        <f aca="false">IF(AND(mthbeg&lt;=A174,mthend&gt;=A174),1,0)</f>
        <v>0</v>
      </c>
      <c r="AA174" s="67" t="n">
        <f aca="false">U174*Z174</f>
        <v>0</v>
      </c>
      <c r="AC174" s="110" t="n">
        <f aca="false">F174*(H174-I174)</f>
        <v>0</v>
      </c>
      <c r="AD174" s="49"/>
      <c r="AE174" s="124"/>
    </row>
    <row r="175" customFormat="false" ht="12" hidden="false" customHeight="true" outlineLevel="0" collapsed="false">
      <c r="A175" s="115" t="n">
        <f aca="false">EDATE(A174,1)</f>
        <v>42278</v>
      </c>
      <c r="B175" s="116" t="n">
        <f aca="false">'Inputs-Summary'!$B$7</f>
        <v>3017157.21662952</v>
      </c>
      <c r="C175" s="57"/>
      <c r="D175" s="117" t="n">
        <f aca="false">B175+C175</f>
        <v>3017157.21662952</v>
      </c>
      <c r="E175" s="106" t="n">
        <f aca="false">IF(Z175=0,0,IF(AND(Z175=1,$H$3=1),D175*U175,IF($H$3=2,D175,"N/A")))</f>
        <v>0</v>
      </c>
      <c r="F175" s="106" t="n">
        <f aca="false">E175*Y175</f>
        <v>0</v>
      </c>
      <c r="G175" s="118" t="n">
        <f aca="false">VLOOKUP($A175,Table,MATCH(G$4,Curves,0))</f>
        <v>3</v>
      </c>
      <c r="H175" s="119" t="n">
        <f aca="false">G175+$H$7</f>
        <v>3</v>
      </c>
      <c r="I175" s="118" t="n">
        <f aca="false">'Inputs-Summary'!$B$16</f>
        <v>1.85</v>
      </c>
      <c r="J175" s="118" t="n">
        <f aca="false">VLOOKUP($A175,Table,MATCH(J$4,Curves,0))</f>
        <v>5</v>
      </c>
      <c r="K175" s="119" t="n">
        <f aca="false">J175+$K$7</f>
        <v>5</v>
      </c>
      <c r="L175" s="120" t="n">
        <f aca="false">K175</f>
        <v>5</v>
      </c>
      <c r="M175" s="118" t="n">
        <f aca="false">VLOOKUP($A175,Table,MATCH(M$4,Curves,0))</f>
        <v>5</v>
      </c>
      <c r="N175" s="119" t="n">
        <f aca="false">M175+$N$7</f>
        <v>5</v>
      </c>
      <c r="O175" s="120" t="n">
        <f aca="false">N175</f>
        <v>5</v>
      </c>
      <c r="P175" s="109"/>
      <c r="Q175" s="120" t="n">
        <f aca="false">IF($F$3=1,M175+J175+G175,J175+G175)</f>
        <v>8</v>
      </c>
      <c r="R175" s="120" t="n">
        <f aca="false">IF($F$3=1,N175+K175+H175,K175+H175)</f>
        <v>8</v>
      </c>
      <c r="S175" s="120" t="n">
        <f aca="false">IF($F$3=1,O175+L175+I175,L175+I175)</f>
        <v>6.85</v>
      </c>
      <c r="T175" s="121"/>
      <c r="U175" s="67" t="n">
        <f aca="false">A176-A175</f>
        <v>31</v>
      </c>
      <c r="V175" s="122" t="n">
        <f aca="false">CHOOSE(F$3,A176+24,A175)</f>
        <v>42278</v>
      </c>
      <c r="W175" s="67" t="n">
        <f aca="false">V175-C$3</f>
        <v>-3648</v>
      </c>
      <c r="X175" s="118" t="n">
        <f aca="false">VLOOKUP($A175,Table,MATCH(X$4,Curves,0))</f>
        <v>2</v>
      </c>
      <c r="Y175" s="123" t="n">
        <f aca="false">1/(1+CHOOSE(F$3,(X176+($K$3/10000))/2,(X175+($K$3/10000))/2))^(2*W175/365.25)</f>
        <v>1030818.81376997</v>
      </c>
      <c r="Z175" s="67" t="n">
        <f aca="false">IF(AND(mthbeg&lt;=A175,mthend&gt;=A175),1,0)</f>
        <v>0</v>
      </c>
      <c r="AA175" s="67" t="n">
        <f aca="false">U175*Z175</f>
        <v>0</v>
      </c>
      <c r="AC175" s="110" t="n">
        <f aca="false">F175*(H175-I175)</f>
        <v>0</v>
      </c>
      <c r="AD175" s="49"/>
      <c r="AE175" s="124"/>
    </row>
    <row r="176" customFormat="false" ht="12" hidden="false" customHeight="true" outlineLevel="0" collapsed="false">
      <c r="A176" s="115" t="n">
        <f aca="false">EDATE(A175,1)</f>
        <v>42309</v>
      </c>
      <c r="B176" s="116" t="n">
        <f aca="false">'Inputs-Summary'!$B$7</f>
        <v>3017157.21662952</v>
      </c>
      <c r="C176" s="57"/>
      <c r="D176" s="117" t="n">
        <f aca="false">B176+C176</f>
        <v>3017157.21662952</v>
      </c>
      <c r="E176" s="106" t="n">
        <f aca="false">IF(Z176=0,0,IF(AND(Z176=1,$H$3=1),D176*U176,IF($H$3=2,D176,"N/A")))</f>
        <v>0</v>
      </c>
      <c r="F176" s="106" t="n">
        <f aca="false">E176*Y176</f>
        <v>0</v>
      </c>
      <c r="G176" s="118" t="n">
        <f aca="false">VLOOKUP($A176,Table,MATCH(G$4,Curves,0))</f>
        <v>3</v>
      </c>
      <c r="H176" s="119" t="n">
        <f aca="false">G176+$H$7</f>
        <v>3</v>
      </c>
      <c r="I176" s="118" t="n">
        <f aca="false">'Inputs-Summary'!$B$16</f>
        <v>1.85</v>
      </c>
      <c r="J176" s="118" t="n">
        <f aca="false">VLOOKUP($A176,Table,MATCH(J$4,Curves,0))</f>
        <v>5</v>
      </c>
      <c r="K176" s="119" t="n">
        <f aca="false">J176+$K$7</f>
        <v>5</v>
      </c>
      <c r="L176" s="120" t="n">
        <f aca="false">K176</f>
        <v>5</v>
      </c>
      <c r="M176" s="118" t="n">
        <f aca="false">VLOOKUP($A176,Table,MATCH(M$4,Curves,0))</f>
        <v>5</v>
      </c>
      <c r="N176" s="119" t="n">
        <f aca="false">M176+$N$7</f>
        <v>5</v>
      </c>
      <c r="O176" s="120" t="n">
        <f aca="false">N176</f>
        <v>5</v>
      </c>
      <c r="P176" s="109"/>
      <c r="Q176" s="120" t="n">
        <f aca="false">IF($F$3=1,M176+J176+G176,J176+G176)</f>
        <v>8</v>
      </c>
      <c r="R176" s="120" t="n">
        <f aca="false">IF($F$3=1,N176+K176+H176,K176+H176)</f>
        <v>8</v>
      </c>
      <c r="S176" s="120" t="n">
        <f aca="false">IF($F$3=1,O176+L176+I176,L176+I176)</f>
        <v>6.85</v>
      </c>
      <c r="T176" s="121"/>
      <c r="U176" s="67" t="n">
        <f aca="false">A177-A176</f>
        <v>30</v>
      </c>
      <c r="V176" s="122" t="n">
        <f aca="false">CHOOSE(F$3,A177+24,A176)</f>
        <v>42309</v>
      </c>
      <c r="W176" s="67" t="n">
        <f aca="false">V176-C$3</f>
        <v>-3617</v>
      </c>
      <c r="X176" s="118" t="n">
        <f aca="false">VLOOKUP($A176,Table,MATCH(X$4,Curves,0))</f>
        <v>2</v>
      </c>
      <c r="Y176" s="123" t="n">
        <f aca="false">1/(1+CHOOSE(F$3,(X177+($K$3/10000))/2,(X176+($K$3/10000))/2))^(2*W176/365.25)</f>
        <v>916396.608694806</v>
      </c>
      <c r="Z176" s="67" t="n">
        <f aca="false">IF(AND(mthbeg&lt;=A176,mthend&gt;=A176),1,0)</f>
        <v>0</v>
      </c>
      <c r="AA176" s="67" t="n">
        <f aca="false">U176*Z176</f>
        <v>0</v>
      </c>
      <c r="AC176" s="110" t="n">
        <f aca="false">F176*(H176-I176)</f>
        <v>0</v>
      </c>
      <c r="AD176" s="49"/>
      <c r="AE176" s="124"/>
    </row>
    <row r="177" customFormat="false" ht="12" hidden="false" customHeight="true" outlineLevel="0" collapsed="false">
      <c r="A177" s="115" t="n">
        <f aca="false">EDATE(A176,1)</f>
        <v>42339</v>
      </c>
      <c r="B177" s="116" t="n">
        <f aca="false">'Inputs-Summary'!$B$7</f>
        <v>3017157.21662952</v>
      </c>
      <c r="C177" s="57"/>
      <c r="D177" s="117" t="n">
        <f aca="false">B177+C177</f>
        <v>3017157.21662952</v>
      </c>
      <c r="E177" s="106" t="n">
        <f aca="false">IF(Z177=0,0,IF(AND(Z177=1,$H$3=1),D177*U177,IF($H$3=2,D177,"N/A")))</f>
        <v>0</v>
      </c>
      <c r="F177" s="106" t="n">
        <f aca="false">E177*Y177</f>
        <v>0</v>
      </c>
      <c r="G177" s="118" t="n">
        <f aca="false">VLOOKUP($A177,Table,MATCH(G$4,Curves,0))</f>
        <v>3</v>
      </c>
      <c r="H177" s="119" t="n">
        <f aca="false">G177+$H$7</f>
        <v>3</v>
      </c>
      <c r="I177" s="118" t="n">
        <f aca="false">'Inputs-Summary'!$B$16</f>
        <v>1.85</v>
      </c>
      <c r="J177" s="118" t="n">
        <f aca="false">VLOOKUP($A177,Table,MATCH(J$4,Curves,0))</f>
        <v>5</v>
      </c>
      <c r="K177" s="119" t="n">
        <f aca="false">J177+$K$7</f>
        <v>5</v>
      </c>
      <c r="L177" s="120" t="n">
        <f aca="false">K177</f>
        <v>5</v>
      </c>
      <c r="M177" s="118" t="n">
        <f aca="false">VLOOKUP($A177,Table,MATCH(M$4,Curves,0))</f>
        <v>5</v>
      </c>
      <c r="N177" s="119" t="n">
        <f aca="false">M177+$N$7</f>
        <v>5</v>
      </c>
      <c r="O177" s="120" t="n">
        <f aca="false">N177</f>
        <v>5</v>
      </c>
      <c r="P177" s="109"/>
      <c r="Q177" s="120" t="n">
        <f aca="false">IF($F$3=1,M177+J177+G177,J177+G177)</f>
        <v>8</v>
      </c>
      <c r="R177" s="120" t="n">
        <f aca="false">IF($F$3=1,N177+K177+H177,K177+H177)</f>
        <v>8</v>
      </c>
      <c r="S177" s="120" t="n">
        <f aca="false">IF($F$3=1,O177+L177+I177,L177+I177)</f>
        <v>6.85</v>
      </c>
      <c r="T177" s="121"/>
      <c r="U177" s="67" t="n">
        <f aca="false">A178-A177</f>
        <v>31</v>
      </c>
      <c r="V177" s="122" t="n">
        <f aca="false">CHOOSE(F$3,A178+24,A177)</f>
        <v>42339</v>
      </c>
      <c r="W177" s="67" t="n">
        <f aca="false">V177-C$3</f>
        <v>-3587</v>
      </c>
      <c r="X177" s="118" t="n">
        <f aca="false">VLOOKUP($A177,Table,MATCH(X$4,Curves,0))</f>
        <v>2</v>
      </c>
      <c r="Y177" s="123" t="n">
        <f aca="false">1/(1+CHOOSE(F$3,(X178+($K$3/10000))/2,(X177+($K$3/10000))/2))^(2*W177/365.25)</f>
        <v>817773.36364596</v>
      </c>
      <c r="Z177" s="67" t="n">
        <f aca="false">IF(AND(mthbeg&lt;=A177,mthend&gt;=A177),1,0)</f>
        <v>0</v>
      </c>
      <c r="AA177" s="67" t="n">
        <f aca="false">U177*Z177</f>
        <v>0</v>
      </c>
      <c r="AC177" s="110" t="n">
        <f aca="false">F177*(H177-I177)</f>
        <v>0</v>
      </c>
      <c r="AD177" s="49"/>
      <c r="AE177" s="124"/>
    </row>
    <row r="178" customFormat="false" ht="12" hidden="false" customHeight="true" outlineLevel="0" collapsed="false">
      <c r="A178" s="115" t="n">
        <f aca="false">EDATE(A177,1)</f>
        <v>42370</v>
      </c>
      <c r="B178" s="116" t="n">
        <f aca="false">'Inputs-Summary'!$B$7</f>
        <v>3017157.21662952</v>
      </c>
      <c r="C178" s="57"/>
      <c r="D178" s="117" t="n">
        <f aca="false">B178+C178</f>
        <v>3017157.21662952</v>
      </c>
      <c r="E178" s="106" t="n">
        <f aca="false">IF(Z178=0,0,IF(AND(Z178=1,$H$3=1),D178*U178,IF($H$3=2,D178,"N/A")))</f>
        <v>0</v>
      </c>
      <c r="F178" s="106" t="n">
        <f aca="false">E178*Y178</f>
        <v>0</v>
      </c>
      <c r="G178" s="118" t="n">
        <f aca="false">VLOOKUP($A178,Table,MATCH(G$4,Curves,0))</f>
        <v>3</v>
      </c>
      <c r="H178" s="119" t="n">
        <f aca="false">G178+$H$7</f>
        <v>3</v>
      </c>
      <c r="I178" s="118" t="n">
        <f aca="false">'Inputs-Summary'!$B$16</f>
        <v>1.85</v>
      </c>
      <c r="J178" s="118" t="n">
        <f aca="false">VLOOKUP($A178,Table,MATCH(J$4,Curves,0))</f>
        <v>5</v>
      </c>
      <c r="K178" s="119" t="n">
        <f aca="false">J178+$K$7</f>
        <v>5</v>
      </c>
      <c r="L178" s="120" t="n">
        <f aca="false">K178</f>
        <v>5</v>
      </c>
      <c r="M178" s="118" t="n">
        <f aca="false">VLOOKUP($A178,Table,MATCH(M$4,Curves,0))</f>
        <v>5</v>
      </c>
      <c r="N178" s="119" t="n">
        <f aca="false">M178+$N$7</f>
        <v>5</v>
      </c>
      <c r="O178" s="120" t="n">
        <f aca="false">N178</f>
        <v>5</v>
      </c>
      <c r="P178" s="109"/>
      <c r="Q178" s="120" t="n">
        <f aca="false">IF($F$3=1,M178+J178+G178,J178+G178)</f>
        <v>8</v>
      </c>
      <c r="R178" s="120" t="n">
        <f aca="false">IF($F$3=1,N178+K178+H178,K178+H178)</f>
        <v>8</v>
      </c>
      <c r="S178" s="120" t="n">
        <f aca="false">IF($F$3=1,O178+L178+I178,L178+I178)</f>
        <v>6.85</v>
      </c>
      <c r="T178" s="121"/>
      <c r="U178" s="67" t="n">
        <f aca="false">A179-A178</f>
        <v>31</v>
      </c>
      <c r="V178" s="122" t="n">
        <f aca="false">CHOOSE(F$3,A179+24,A178)</f>
        <v>42370</v>
      </c>
      <c r="W178" s="67" t="n">
        <f aca="false">V178-C$3</f>
        <v>-3556</v>
      </c>
      <c r="X178" s="118" t="n">
        <f aca="false">VLOOKUP($A178,Table,MATCH(X$4,Curves,0))</f>
        <v>2</v>
      </c>
      <c r="Y178" s="123" t="n">
        <f aca="false">1/(1+CHOOSE(F$3,(X179+($K$3/10000))/2,(X178+($K$3/10000))/2))^(2*W178/365.25)</f>
        <v>726999.475674429</v>
      </c>
      <c r="Z178" s="67" t="n">
        <f aca="false">IF(AND(mthbeg&lt;=A178,mthend&gt;=A178),1,0)</f>
        <v>0</v>
      </c>
      <c r="AA178" s="67" t="n">
        <f aca="false">U178*Z178</f>
        <v>0</v>
      </c>
      <c r="AC178" s="110" t="n">
        <f aca="false">F178*(H178-I178)</f>
        <v>0</v>
      </c>
      <c r="AD178" s="49"/>
      <c r="AE178" s="124"/>
    </row>
    <row r="179" customFormat="false" ht="12" hidden="false" customHeight="true" outlineLevel="0" collapsed="false">
      <c r="A179" s="115" t="n">
        <f aca="false">EDATE(A178,1)</f>
        <v>42401</v>
      </c>
      <c r="B179" s="116" t="n">
        <f aca="false">'Inputs-Summary'!$B$7</f>
        <v>3017157.21662952</v>
      </c>
      <c r="C179" s="57"/>
      <c r="D179" s="117" t="n">
        <f aca="false">B179+C179</f>
        <v>3017157.21662952</v>
      </c>
      <c r="E179" s="106" t="n">
        <f aca="false">IF(Z179=0,0,IF(AND(Z179=1,$H$3=1),D179*U179,IF($H$3=2,D179,"N/A")))</f>
        <v>0</v>
      </c>
      <c r="F179" s="106" t="n">
        <f aca="false">E179*Y179</f>
        <v>0</v>
      </c>
      <c r="G179" s="118" t="n">
        <f aca="false">VLOOKUP($A179,Table,MATCH(G$4,Curves,0))</f>
        <v>3</v>
      </c>
      <c r="H179" s="119" t="n">
        <f aca="false">G179+$H$7</f>
        <v>3</v>
      </c>
      <c r="I179" s="118" t="n">
        <f aca="false">'Inputs-Summary'!$B$16</f>
        <v>1.85</v>
      </c>
      <c r="J179" s="118" t="n">
        <f aca="false">VLOOKUP($A179,Table,MATCH(J$4,Curves,0))</f>
        <v>5</v>
      </c>
      <c r="K179" s="119" t="n">
        <f aca="false">J179+$K$7</f>
        <v>5</v>
      </c>
      <c r="L179" s="120" t="n">
        <f aca="false">K179</f>
        <v>5</v>
      </c>
      <c r="M179" s="118" t="n">
        <f aca="false">VLOOKUP($A179,Table,MATCH(M$4,Curves,0))</f>
        <v>5</v>
      </c>
      <c r="N179" s="119" t="n">
        <f aca="false">M179+$N$7</f>
        <v>5</v>
      </c>
      <c r="O179" s="120" t="n">
        <f aca="false">N179</f>
        <v>5</v>
      </c>
      <c r="P179" s="109"/>
      <c r="Q179" s="120" t="n">
        <f aca="false">IF($F$3=1,M179+J179+G179,J179+G179)</f>
        <v>8</v>
      </c>
      <c r="R179" s="120" t="n">
        <f aca="false">IF($F$3=1,N179+K179+H179,K179+H179)</f>
        <v>8</v>
      </c>
      <c r="S179" s="120" t="n">
        <f aca="false">IF($F$3=1,O179+L179+I179,L179+I179)</f>
        <v>6.85</v>
      </c>
      <c r="T179" s="121"/>
      <c r="U179" s="67" t="n">
        <f aca="false">A180-A179</f>
        <v>29</v>
      </c>
      <c r="V179" s="122" t="n">
        <f aca="false">CHOOSE(F$3,A180+24,A179)</f>
        <v>42401</v>
      </c>
      <c r="W179" s="67" t="n">
        <f aca="false">V179-C$3</f>
        <v>-3525</v>
      </c>
      <c r="X179" s="118" t="n">
        <f aca="false">VLOOKUP($A179,Table,MATCH(X$4,Curves,0))</f>
        <v>2</v>
      </c>
      <c r="Y179" s="123" t="n">
        <f aca="false">1/(1+CHOOSE(F$3,(X180+($K$3/10000))/2,(X179+($K$3/10000))/2))^(2*W179/365.25)</f>
        <v>646301.60522043</v>
      </c>
      <c r="Z179" s="67" t="n">
        <f aca="false">IF(AND(mthbeg&lt;=A179,mthend&gt;=A179),1,0)</f>
        <v>0</v>
      </c>
      <c r="AA179" s="67" t="n">
        <f aca="false">U179*Z179</f>
        <v>0</v>
      </c>
      <c r="AC179" s="110" t="n">
        <f aca="false">F179*(H179-I179)</f>
        <v>0</v>
      </c>
      <c r="AD179" s="49"/>
      <c r="AE179" s="124"/>
    </row>
    <row r="180" customFormat="false" ht="12" hidden="false" customHeight="true" outlineLevel="0" collapsed="false">
      <c r="A180" s="115" t="n">
        <f aca="false">EDATE(A179,1)</f>
        <v>42430</v>
      </c>
      <c r="B180" s="116" t="n">
        <f aca="false">'Inputs-Summary'!$B$7</f>
        <v>3017157.21662952</v>
      </c>
      <c r="C180" s="57"/>
      <c r="D180" s="117" t="n">
        <f aca="false">B180+C180</f>
        <v>3017157.21662952</v>
      </c>
      <c r="E180" s="106" t="n">
        <f aca="false">IF(Z180=0,0,IF(AND(Z180=1,$H$3=1),D180*U180,IF($H$3=2,D180,"N/A")))</f>
        <v>0</v>
      </c>
      <c r="F180" s="106" t="n">
        <f aca="false">E180*Y180</f>
        <v>0</v>
      </c>
      <c r="G180" s="118" t="n">
        <f aca="false">VLOOKUP($A180,Table,MATCH(G$4,Curves,0))</f>
        <v>3</v>
      </c>
      <c r="H180" s="119" t="n">
        <f aca="false">G180+$H$7</f>
        <v>3</v>
      </c>
      <c r="I180" s="118" t="n">
        <f aca="false">'Inputs-Summary'!$B$16</f>
        <v>1.85</v>
      </c>
      <c r="J180" s="118" t="n">
        <f aca="false">VLOOKUP($A180,Table,MATCH(J$4,Curves,0))</f>
        <v>5</v>
      </c>
      <c r="K180" s="119" t="n">
        <f aca="false">J180+$K$7</f>
        <v>5</v>
      </c>
      <c r="L180" s="120" t="n">
        <f aca="false">K180</f>
        <v>5</v>
      </c>
      <c r="M180" s="118" t="n">
        <f aca="false">VLOOKUP($A180,Table,MATCH(M$4,Curves,0))</f>
        <v>5</v>
      </c>
      <c r="N180" s="119" t="n">
        <f aca="false">M180+$N$7</f>
        <v>5</v>
      </c>
      <c r="O180" s="120" t="n">
        <f aca="false">N180</f>
        <v>5</v>
      </c>
      <c r="P180" s="109"/>
      <c r="Q180" s="120" t="n">
        <f aca="false">IF($F$3=1,M180+J180+G180,J180+G180)</f>
        <v>8</v>
      </c>
      <c r="R180" s="120" t="n">
        <f aca="false">IF($F$3=1,N180+K180+H180,K180+H180)</f>
        <v>8</v>
      </c>
      <c r="S180" s="120" t="n">
        <f aca="false">IF($F$3=1,O180+L180+I180,L180+I180)</f>
        <v>6.85</v>
      </c>
      <c r="T180" s="121"/>
      <c r="U180" s="67" t="n">
        <f aca="false">A181-A180</f>
        <v>31</v>
      </c>
      <c r="V180" s="122" t="n">
        <f aca="false">CHOOSE(F$3,A181+24,A180)</f>
        <v>42430</v>
      </c>
      <c r="W180" s="67" t="n">
        <f aca="false">V180-C$3</f>
        <v>-3496</v>
      </c>
      <c r="X180" s="118" t="n">
        <f aca="false">VLOOKUP($A180,Table,MATCH(X$4,Curves,0))</f>
        <v>2</v>
      </c>
      <c r="Y180" s="123" t="n">
        <f aca="false">1/(1+CHOOSE(F$3,(X181+($K$3/10000))/2,(X180+($K$3/10000))/2))^(2*W180/365.25)</f>
        <v>578939.354243425</v>
      </c>
      <c r="Z180" s="67" t="n">
        <f aca="false">IF(AND(mthbeg&lt;=A180,mthend&gt;=A180),1,0)</f>
        <v>0</v>
      </c>
      <c r="AA180" s="67" t="n">
        <f aca="false">U180*Z180</f>
        <v>0</v>
      </c>
      <c r="AC180" s="110" t="n">
        <f aca="false">F180*(H180-I180)</f>
        <v>0</v>
      </c>
      <c r="AD180" s="49"/>
      <c r="AE180" s="124"/>
    </row>
    <row r="181" customFormat="false" ht="12" hidden="false" customHeight="true" outlineLevel="0" collapsed="false">
      <c r="A181" s="115" t="n">
        <f aca="false">EDATE(A180,1)</f>
        <v>42461</v>
      </c>
      <c r="B181" s="116" t="n">
        <f aca="false">'Inputs-Summary'!$B$7</f>
        <v>3017157.21662952</v>
      </c>
      <c r="C181" s="57"/>
      <c r="D181" s="117" t="n">
        <f aca="false">B181+C181</f>
        <v>3017157.21662952</v>
      </c>
      <c r="E181" s="106" t="n">
        <f aca="false">IF(Z181=0,0,IF(AND(Z181=1,$H$3=1),D181*U181,IF($H$3=2,D181,"N/A")))</f>
        <v>0</v>
      </c>
      <c r="F181" s="106" t="n">
        <f aca="false">E181*Y181</f>
        <v>0</v>
      </c>
      <c r="G181" s="118" t="n">
        <f aca="false">VLOOKUP($A181,Table,MATCH(G$4,Curves,0))</f>
        <v>3</v>
      </c>
      <c r="H181" s="119" t="n">
        <f aca="false">G181+$H$7</f>
        <v>3</v>
      </c>
      <c r="I181" s="118" t="n">
        <f aca="false">'Inputs-Summary'!$B$16</f>
        <v>1.85</v>
      </c>
      <c r="J181" s="118" t="n">
        <f aca="false">VLOOKUP($A181,Table,MATCH(J$4,Curves,0))</f>
        <v>5</v>
      </c>
      <c r="K181" s="119" t="n">
        <f aca="false">J181+$K$7</f>
        <v>5</v>
      </c>
      <c r="L181" s="120" t="n">
        <f aca="false">K181</f>
        <v>5</v>
      </c>
      <c r="M181" s="118" t="n">
        <f aca="false">VLOOKUP($A181,Table,MATCH(M$4,Curves,0))</f>
        <v>5</v>
      </c>
      <c r="N181" s="119" t="n">
        <f aca="false">M181+$N$7</f>
        <v>5</v>
      </c>
      <c r="O181" s="120" t="n">
        <f aca="false">N181</f>
        <v>5</v>
      </c>
      <c r="P181" s="109"/>
      <c r="Q181" s="120" t="n">
        <f aca="false">IF($F$3=1,M181+J181+G181,J181+G181)</f>
        <v>8</v>
      </c>
      <c r="R181" s="120" t="n">
        <f aca="false">IF($F$3=1,N181+K181+H181,K181+H181)</f>
        <v>8</v>
      </c>
      <c r="S181" s="120" t="n">
        <f aca="false">IF($F$3=1,O181+L181+I181,L181+I181)</f>
        <v>6.85</v>
      </c>
      <c r="T181" s="121"/>
      <c r="U181" s="67" t="n">
        <f aca="false">A182-A181</f>
        <v>30</v>
      </c>
      <c r="V181" s="122" t="n">
        <f aca="false">CHOOSE(F$3,A182+24,A181)</f>
        <v>42461</v>
      </c>
      <c r="W181" s="67" t="n">
        <f aca="false">V181-C$3</f>
        <v>-3465</v>
      </c>
      <c r="X181" s="118" t="n">
        <f aca="false">VLOOKUP($A181,Table,MATCH(X$4,Curves,0))</f>
        <v>2</v>
      </c>
      <c r="Y181" s="123" t="n">
        <f aca="false">1/(1+CHOOSE(F$3,(X182+($K$3/10000))/2,(X181+($K$3/10000))/2))^(2*W181/365.25)</f>
        <v>514676.346397213</v>
      </c>
      <c r="Z181" s="67" t="n">
        <f aca="false">IF(AND(mthbeg&lt;=A181,mthend&gt;=A181),1,0)</f>
        <v>0</v>
      </c>
      <c r="AA181" s="67" t="n">
        <f aca="false">U181*Z181</f>
        <v>0</v>
      </c>
      <c r="AC181" s="110" t="n">
        <f aca="false">F181*(H181-I181)</f>
        <v>0</v>
      </c>
      <c r="AD181" s="49"/>
      <c r="AE181" s="124"/>
    </row>
    <row r="182" customFormat="false" ht="12" hidden="false" customHeight="true" outlineLevel="0" collapsed="false">
      <c r="A182" s="115" t="n">
        <f aca="false">EDATE(A181,1)</f>
        <v>42491</v>
      </c>
      <c r="B182" s="116" t="n">
        <f aca="false">'Inputs-Summary'!$B$7</f>
        <v>3017157.21662952</v>
      </c>
      <c r="C182" s="57"/>
      <c r="D182" s="117" t="n">
        <f aca="false">B182+C182</f>
        <v>3017157.21662952</v>
      </c>
      <c r="E182" s="106" t="n">
        <f aca="false">IF(Z182=0,0,IF(AND(Z182=1,$H$3=1),D182*U182,IF($H$3=2,D182,"N/A")))</f>
        <v>0</v>
      </c>
      <c r="F182" s="106" t="n">
        <f aca="false">E182*Y182</f>
        <v>0</v>
      </c>
      <c r="G182" s="118" t="n">
        <f aca="false">VLOOKUP($A182,Table,MATCH(G$4,Curves,0))</f>
        <v>3</v>
      </c>
      <c r="H182" s="119" t="n">
        <f aca="false">G182+$H$7</f>
        <v>3</v>
      </c>
      <c r="I182" s="118" t="n">
        <f aca="false">'Inputs-Summary'!$B$16</f>
        <v>1.85</v>
      </c>
      <c r="J182" s="118" t="n">
        <f aca="false">VLOOKUP($A182,Table,MATCH(J$4,Curves,0))</f>
        <v>5</v>
      </c>
      <c r="K182" s="119" t="n">
        <f aca="false">J182+$K$7</f>
        <v>5</v>
      </c>
      <c r="L182" s="120" t="n">
        <f aca="false">K182</f>
        <v>5</v>
      </c>
      <c r="M182" s="118" t="n">
        <f aca="false">VLOOKUP($A182,Table,MATCH(M$4,Curves,0))</f>
        <v>5</v>
      </c>
      <c r="N182" s="119" t="n">
        <f aca="false">M182+$N$7</f>
        <v>5</v>
      </c>
      <c r="O182" s="120" t="n">
        <f aca="false">N182</f>
        <v>5</v>
      </c>
      <c r="P182" s="109"/>
      <c r="Q182" s="120" t="n">
        <f aca="false">IF($F$3=1,M182+J182+G182,J182+G182)</f>
        <v>8</v>
      </c>
      <c r="R182" s="120" t="n">
        <f aca="false">IF($F$3=1,N182+K182+H182,K182+H182)</f>
        <v>8</v>
      </c>
      <c r="S182" s="120" t="n">
        <f aca="false">IF($F$3=1,O182+L182+I182,L182+I182)</f>
        <v>6.85</v>
      </c>
      <c r="T182" s="121"/>
      <c r="U182" s="67" t="n">
        <f aca="false">A183-A182</f>
        <v>31</v>
      </c>
      <c r="V182" s="122" t="n">
        <f aca="false">CHOOSE(F$3,A183+24,A182)</f>
        <v>42491</v>
      </c>
      <c r="W182" s="67" t="n">
        <f aca="false">V182-C$3</f>
        <v>-3435</v>
      </c>
      <c r="X182" s="118" t="n">
        <f aca="false">VLOOKUP($A182,Table,MATCH(X$4,Curves,0))</f>
        <v>2</v>
      </c>
      <c r="Y182" s="123" t="n">
        <f aca="false">1/(1+CHOOSE(F$3,(X183+($K$3/10000))/2,(X182+($K$3/10000))/2))^(2*W182/365.25)</f>
        <v>459286.517419265</v>
      </c>
      <c r="Z182" s="67" t="n">
        <f aca="false">IF(AND(mthbeg&lt;=A182,mthend&gt;=A182),1,0)</f>
        <v>0</v>
      </c>
      <c r="AA182" s="67" t="n">
        <f aca="false">U182*Z182</f>
        <v>0</v>
      </c>
      <c r="AC182" s="110" t="n">
        <f aca="false">F182*(H182-I182)</f>
        <v>0</v>
      </c>
      <c r="AD182" s="49"/>
      <c r="AE182" s="124"/>
    </row>
    <row r="183" customFormat="false" ht="12" hidden="false" customHeight="true" outlineLevel="0" collapsed="false">
      <c r="A183" s="115" t="n">
        <f aca="false">EDATE(A182,1)</f>
        <v>42522</v>
      </c>
      <c r="B183" s="116" t="n">
        <f aca="false">'Inputs-Summary'!$B$7</f>
        <v>3017157.21662952</v>
      </c>
      <c r="C183" s="57"/>
      <c r="D183" s="117" t="n">
        <f aca="false">B183+C183</f>
        <v>3017157.21662952</v>
      </c>
      <c r="E183" s="106" t="n">
        <f aca="false">IF(Z183=0,0,IF(AND(Z183=1,$H$3=1),D183*U183,IF($H$3=2,D183,"N/A")))</f>
        <v>0</v>
      </c>
      <c r="F183" s="106" t="n">
        <f aca="false">E183*Y183</f>
        <v>0</v>
      </c>
      <c r="G183" s="118" t="n">
        <f aca="false">VLOOKUP($A183,Table,MATCH(G$4,Curves,0))</f>
        <v>3</v>
      </c>
      <c r="H183" s="119" t="n">
        <f aca="false">G183+$H$7</f>
        <v>3</v>
      </c>
      <c r="I183" s="118" t="n">
        <f aca="false">'Inputs-Summary'!$B$16</f>
        <v>1.85</v>
      </c>
      <c r="J183" s="118" t="n">
        <f aca="false">VLOOKUP($A183,Table,MATCH(J$4,Curves,0))</f>
        <v>5</v>
      </c>
      <c r="K183" s="119" t="n">
        <f aca="false">J183+$K$7</f>
        <v>5</v>
      </c>
      <c r="L183" s="120" t="n">
        <f aca="false">K183</f>
        <v>5</v>
      </c>
      <c r="M183" s="118" t="n">
        <f aca="false">VLOOKUP($A183,Table,MATCH(M$4,Curves,0))</f>
        <v>5</v>
      </c>
      <c r="N183" s="119" t="n">
        <f aca="false">M183+$N$7</f>
        <v>5</v>
      </c>
      <c r="O183" s="120" t="n">
        <f aca="false">N183</f>
        <v>5</v>
      </c>
      <c r="P183" s="109"/>
      <c r="Q183" s="120" t="n">
        <f aca="false">IF($F$3=1,M183+J183+G183,J183+G183)</f>
        <v>8</v>
      </c>
      <c r="R183" s="120" t="n">
        <f aca="false">IF($F$3=1,N183+K183+H183,K183+H183)</f>
        <v>8</v>
      </c>
      <c r="S183" s="120" t="n">
        <f aca="false">IF($F$3=1,O183+L183+I183,L183+I183)</f>
        <v>6.85</v>
      </c>
      <c r="T183" s="121"/>
      <c r="U183" s="67" t="n">
        <f aca="false">A184-A183</f>
        <v>30</v>
      </c>
      <c r="V183" s="122" t="n">
        <f aca="false">CHOOSE(F$3,A184+24,A183)</f>
        <v>42522</v>
      </c>
      <c r="W183" s="67" t="n">
        <f aca="false">V183-C$3</f>
        <v>-3404</v>
      </c>
      <c r="X183" s="118" t="n">
        <f aca="false">VLOOKUP($A183,Table,MATCH(X$4,Curves,0))</f>
        <v>2</v>
      </c>
      <c r="Y183" s="123" t="n">
        <f aca="false">1/(1+CHOOSE(F$3,(X184+($K$3/10000))/2,(X183+($K$3/10000))/2))^(2*W183/365.25)</f>
        <v>408305.127302601</v>
      </c>
      <c r="Z183" s="67" t="n">
        <f aca="false">IF(AND(mthbeg&lt;=A183,mthend&gt;=A183),1,0)</f>
        <v>0</v>
      </c>
      <c r="AA183" s="67" t="n">
        <f aca="false">U183*Z183</f>
        <v>0</v>
      </c>
      <c r="AC183" s="110" t="n">
        <f aca="false">F183*(H183-I183)</f>
        <v>0</v>
      </c>
      <c r="AD183" s="49"/>
      <c r="AE183" s="124"/>
    </row>
    <row r="184" customFormat="false" ht="12" hidden="false" customHeight="true" outlineLevel="0" collapsed="false">
      <c r="A184" s="115" t="n">
        <f aca="false">EDATE(A183,1)</f>
        <v>42552</v>
      </c>
      <c r="B184" s="116" t="n">
        <f aca="false">'Inputs-Summary'!$B$7</f>
        <v>3017157.21662952</v>
      </c>
      <c r="C184" s="57"/>
      <c r="D184" s="117" t="n">
        <f aca="false">B184+C184</f>
        <v>3017157.21662952</v>
      </c>
      <c r="E184" s="106" t="n">
        <f aca="false">IF(Z184=0,0,IF(AND(Z184=1,$H$3=1),D184*U184,IF($H$3=2,D184,"N/A")))</f>
        <v>0</v>
      </c>
      <c r="F184" s="106" t="n">
        <f aca="false">E184*Y184</f>
        <v>0</v>
      </c>
      <c r="G184" s="118" t="n">
        <f aca="false">VLOOKUP($A184,Table,MATCH(G$4,Curves,0))</f>
        <v>3</v>
      </c>
      <c r="H184" s="119" t="n">
        <f aca="false">G184+$H$7</f>
        <v>3</v>
      </c>
      <c r="I184" s="118" t="n">
        <f aca="false">'Inputs-Summary'!$B$16</f>
        <v>1.85</v>
      </c>
      <c r="J184" s="118" t="n">
        <f aca="false">VLOOKUP($A184,Table,MATCH(J$4,Curves,0))</f>
        <v>5</v>
      </c>
      <c r="K184" s="119" t="n">
        <f aca="false">J184+$K$7</f>
        <v>5</v>
      </c>
      <c r="L184" s="120" t="n">
        <f aca="false">K184</f>
        <v>5</v>
      </c>
      <c r="M184" s="118" t="n">
        <f aca="false">VLOOKUP($A184,Table,MATCH(M$4,Curves,0))</f>
        <v>5</v>
      </c>
      <c r="N184" s="119" t="n">
        <f aca="false">M184+$N$7</f>
        <v>5</v>
      </c>
      <c r="O184" s="120" t="n">
        <f aca="false">N184</f>
        <v>5</v>
      </c>
      <c r="P184" s="109"/>
      <c r="Q184" s="120" t="n">
        <f aca="false">IF($F$3=1,M184+J184+G184,J184+G184)</f>
        <v>8</v>
      </c>
      <c r="R184" s="120" t="n">
        <f aca="false">IF($F$3=1,N184+K184+H184,K184+H184)</f>
        <v>8</v>
      </c>
      <c r="S184" s="120" t="n">
        <f aca="false">IF($F$3=1,O184+L184+I184,L184+I184)</f>
        <v>6.85</v>
      </c>
      <c r="T184" s="121"/>
      <c r="U184" s="67" t="n">
        <f aca="false">A185-A184</f>
        <v>31</v>
      </c>
      <c r="V184" s="122" t="n">
        <f aca="false">CHOOSE(F$3,A185+24,A184)</f>
        <v>42552</v>
      </c>
      <c r="W184" s="67" t="n">
        <f aca="false">V184-C$3</f>
        <v>-3374</v>
      </c>
      <c r="X184" s="118" t="n">
        <f aca="false">VLOOKUP($A184,Table,MATCH(X$4,Curves,0))</f>
        <v>2</v>
      </c>
      <c r="Y184" s="123" t="n">
        <f aca="false">1/(1+CHOOSE(F$3,(X185+($K$3/10000))/2,(X184+($K$3/10000))/2))^(2*W184/365.25)</f>
        <v>364363.043446554</v>
      </c>
      <c r="Z184" s="67" t="n">
        <f aca="false">IF(AND(mthbeg&lt;=A184,mthend&gt;=A184),1,0)</f>
        <v>0</v>
      </c>
      <c r="AA184" s="67" t="n">
        <f aca="false">U184*Z184</f>
        <v>0</v>
      </c>
      <c r="AC184" s="110" t="n">
        <f aca="false">F184*(H184-I184)</f>
        <v>0</v>
      </c>
      <c r="AD184" s="49"/>
      <c r="AE184" s="124"/>
    </row>
    <row r="185" customFormat="false" ht="12" hidden="false" customHeight="true" outlineLevel="0" collapsed="false">
      <c r="A185" s="115" t="n">
        <f aca="false">EDATE(A184,1)</f>
        <v>42583</v>
      </c>
      <c r="B185" s="116" t="n">
        <f aca="false">'Inputs-Summary'!$B$7</f>
        <v>3017157.21662952</v>
      </c>
      <c r="C185" s="57"/>
      <c r="D185" s="117" t="n">
        <f aca="false">B185+C185</f>
        <v>3017157.21662952</v>
      </c>
      <c r="E185" s="106" t="n">
        <f aca="false">IF(Z185=0,0,IF(AND(Z185=1,$H$3=1),D185*U185,IF($H$3=2,D185,"N/A")))</f>
        <v>0</v>
      </c>
      <c r="F185" s="106" t="n">
        <f aca="false">E185*Y185</f>
        <v>0</v>
      </c>
      <c r="G185" s="118" t="n">
        <f aca="false">VLOOKUP($A185,Table,MATCH(G$4,Curves,0))</f>
        <v>3</v>
      </c>
      <c r="H185" s="119" t="n">
        <f aca="false">G185+$H$7</f>
        <v>3</v>
      </c>
      <c r="I185" s="118" t="n">
        <f aca="false">'Inputs-Summary'!$B$16</f>
        <v>1.85</v>
      </c>
      <c r="J185" s="118" t="n">
        <f aca="false">VLOOKUP($A185,Table,MATCH(J$4,Curves,0))</f>
        <v>5</v>
      </c>
      <c r="K185" s="119" t="n">
        <f aca="false">J185+$K$7</f>
        <v>5</v>
      </c>
      <c r="L185" s="120" t="n">
        <f aca="false">K185</f>
        <v>5</v>
      </c>
      <c r="M185" s="118" t="n">
        <f aca="false">VLOOKUP($A185,Table,MATCH(M$4,Curves,0))</f>
        <v>5</v>
      </c>
      <c r="N185" s="119" t="n">
        <f aca="false">M185+$N$7</f>
        <v>5</v>
      </c>
      <c r="O185" s="120" t="n">
        <f aca="false">N185</f>
        <v>5</v>
      </c>
      <c r="P185" s="109"/>
      <c r="Q185" s="120" t="n">
        <f aca="false">IF($F$3=1,M185+J185+G185,J185+G185)</f>
        <v>8</v>
      </c>
      <c r="R185" s="120" t="n">
        <f aca="false">IF($F$3=1,N185+K185+H185,K185+H185)</f>
        <v>8</v>
      </c>
      <c r="S185" s="120" t="n">
        <f aca="false">IF($F$3=1,O185+L185+I185,L185+I185)</f>
        <v>6.85</v>
      </c>
      <c r="T185" s="121"/>
      <c r="U185" s="67" t="n">
        <f aca="false">A186-A185</f>
        <v>31</v>
      </c>
      <c r="V185" s="122" t="n">
        <f aca="false">CHOOSE(F$3,A186+24,A185)</f>
        <v>42583</v>
      </c>
      <c r="W185" s="67" t="n">
        <f aca="false">V185-C$3</f>
        <v>-3343</v>
      </c>
      <c r="X185" s="118" t="n">
        <f aca="false">VLOOKUP($A185,Table,MATCH(X$4,Curves,0))</f>
        <v>2</v>
      </c>
      <c r="Y185" s="123" t="n">
        <f aca="false">1/(1+CHOOSE(F$3,(X186+($K$3/10000))/2,(X185+($K$3/10000))/2))^(2*W185/365.25)</f>
        <v>323918.280194149</v>
      </c>
      <c r="Z185" s="67" t="n">
        <f aca="false">IF(AND(mthbeg&lt;=A185,mthend&gt;=A185),1,0)</f>
        <v>0</v>
      </c>
      <c r="AA185" s="67" t="n">
        <f aca="false">U185*Z185</f>
        <v>0</v>
      </c>
      <c r="AC185" s="110" t="n">
        <f aca="false">F185*(H185-I185)</f>
        <v>0</v>
      </c>
      <c r="AD185" s="49"/>
      <c r="AE185" s="124"/>
    </row>
    <row r="186" customFormat="false" ht="12" hidden="false" customHeight="true" outlineLevel="0" collapsed="false">
      <c r="A186" s="115" t="n">
        <f aca="false">EDATE(A185,1)</f>
        <v>42614</v>
      </c>
      <c r="B186" s="116" t="n">
        <f aca="false">'Inputs-Summary'!$B$7</f>
        <v>3017157.21662952</v>
      </c>
      <c r="C186" s="57"/>
      <c r="D186" s="117" t="n">
        <f aca="false">B186+C186</f>
        <v>3017157.21662952</v>
      </c>
      <c r="E186" s="106" t="n">
        <f aca="false">IF(Z186=0,0,IF(AND(Z186=1,$H$3=1),D186*U186,IF($H$3=2,D186,"N/A")))</f>
        <v>0</v>
      </c>
      <c r="F186" s="106" t="n">
        <f aca="false">E186*Y186</f>
        <v>0</v>
      </c>
      <c r="G186" s="118" t="n">
        <f aca="false">VLOOKUP($A186,Table,MATCH(G$4,Curves,0))</f>
        <v>3</v>
      </c>
      <c r="H186" s="119" t="n">
        <f aca="false">G186+$H$7</f>
        <v>3</v>
      </c>
      <c r="I186" s="118" t="n">
        <f aca="false">'Inputs-Summary'!$B$16</f>
        <v>1.85</v>
      </c>
      <c r="J186" s="118" t="n">
        <f aca="false">VLOOKUP($A186,Table,MATCH(J$4,Curves,0))</f>
        <v>5</v>
      </c>
      <c r="K186" s="119" t="n">
        <f aca="false">J186+$K$7</f>
        <v>5</v>
      </c>
      <c r="L186" s="120" t="n">
        <f aca="false">K186</f>
        <v>5</v>
      </c>
      <c r="M186" s="118" t="n">
        <f aca="false">VLOOKUP($A186,Table,MATCH(M$4,Curves,0))</f>
        <v>5</v>
      </c>
      <c r="N186" s="119" t="n">
        <f aca="false">M186+$N$7</f>
        <v>5</v>
      </c>
      <c r="O186" s="120" t="n">
        <f aca="false">N186</f>
        <v>5</v>
      </c>
      <c r="P186" s="109"/>
      <c r="Q186" s="120" t="n">
        <f aca="false">IF($F$3=1,M186+J186+G186,J186+G186)</f>
        <v>8</v>
      </c>
      <c r="R186" s="120" t="n">
        <f aca="false">IF($F$3=1,N186+K186+H186,K186+H186)</f>
        <v>8</v>
      </c>
      <c r="S186" s="120" t="n">
        <f aca="false">IF($F$3=1,O186+L186+I186,L186+I186)</f>
        <v>6.85</v>
      </c>
      <c r="T186" s="121"/>
      <c r="U186" s="67" t="n">
        <f aca="false">A187-A186</f>
        <v>30</v>
      </c>
      <c r="V186" s="122" t="n">
        <f aca="false">CHOOSE(F$3,A187+24,A186)</f>
        <v>42614</v>
      </c>
      <c r="W186" s="67" t="n">
        <f aca="false">V186-C$3</f>
        <v>-3312</v>
      </c>
      <c r="X186" s="118" t="n">
        <f aca="false">VLOOKUP($A186,Table,MATCH(X$4,Curves,0))</f>
        <v>2</v>
      </c>
      <c r="Y186" s="123" t="n">
        <f aca="false">1/(1+CHOOSE(F$3,(X187+($K$3/10000))/2,(X186+($K$3/10000))/2))^(2*W186/365.25)</f>
        <v>287962.937326067</v>
      </c>
      <c r="Z186" s="67" t="n">
        <f aca="false">IF(AND(mthbeg&lt;=A186,mthend&gt;=A186),1,0)</f>
        <v>0</v>
      </c>
      <c r="AA186" s="67" t="n">
        <f aca="false">U186*Z186</f>
        <v>0</v>
      </c>
      <c r="AC186" s="110" t="n">
        <f aca="false">F186*(H186-I186)</f>
        <v>0</v>
      </c>
      <c r="AD186" s="49"/>
      <c r="AE186" s="124"/>
    </row>
    <row r="187" customFormat="false" ht="12" hidden="false" customHeight="true" outlineLevel="0" collapsed="false">
      <c r="A187" s="115" t="n">
        <f aca="false">EDATE(A186,1)</f>
        <v>42644</v>
      </c>
      <c r="B187" s="116" t="n">
        <f aca="false">'Inputs-Summary'!$B$7</f>
        <v>3017157.21662952</v>
      </c>
      <c r="C187" s="57"/>
      <c r="D187" s="117" t="n">
        <f aca="false">B187+C187</f>
        <v>3017157.21662952</v>
      </c>
      <c r="E187" s="106" t="n">
        <f aca="false">IF(Z187=0,0,IF(AND(Z187=1,$H$3=1),D187*U187,IF($H$3=2,D187,"N/A")))</f>
        <v>0</v>
      </c>
      <c r="F187" s="106" t="n">
        <f aca="false">E187*Y187</f>
        <v>0</v>
      </c>
      <c r="G187" s="118" t="n">
        <f aca="false">VLOOKUP($A187,Table,MATCH(G$4,Curves,0))</f>
        <v>3</v>
      </c>
      <c r="H187" s="119" t="n">
        <f aca="false">G187+$H$7</f>
        <v>3</v>
      </c>
      <c r="I187" s="118" t="n">
        <f aca="false">'Inputs-Summary'!$B$16</f>
        <v>1.85</v>
      </c>
      <c r="J187" s="118" t="n">
        <f aca="false">VLOOKUP($A187,Table,MATCH(J$4,Curves,0))</f>
        <v>5</v>
      </c>
      <c r="K187" s="119" t="n">
        <f aca="false">J187+$K$7</f>
        <v>5</v>
      </c>
      <c r="L187" s="120" t="n">
        <f aca="false">K187</f>
        <v>5</v>
      </c>
      <c r="M187" s="118" t="n">
        <f aca="false">VLOOKUP($A187,Table,MATCH(M$4,Curves,0))</f>
        <v>5</v>
      </c>
      <c r="N187" s="119" t="n">
        <f aca="false">M187+$N$7</f>
        <v>5</v>
      </c>
      <c r="O187" s="120" t="n">
        <f aca="false">N187</f>
        <v>5</v>
      </c>
      <c r="P187" s="109"/>
      <c r="Q187" s="120" t="n">
        <f aca="false">IF($F$3=1,M187+J187+G187,J187+G187)</f>
        <v>8</v>
      </c>
      <c r="R187" s="120" t="n">
        <f aca="false">IF($F$3=1,N187+K187+H187,K187+H187)</f>
        <v>8</v>
      </c>
      <c r="S187" s="120" t="n">
        <f aca="false">IF($F$3=1,O187+L187+I187,L187+I187)</f>
        <v>6.85</v>
      </c>
      <c r="T187" s="121"/>
      <c r="U187" s="67" t="n">
        <f aca="false">A188-A187</f>
        <v>31</v>
      </c>
      <c r="V187" s="122" t="n">
        <f aca="false">CHOOSE(F$3,A188+24,A187)</f>
        <v>42644</v>
      </c>
      <c r="W187" s="67" t="n">
        <f aca="false">V187-C$3</f>
        <v>-3282</v>
      </c>
      <c r="X187" s="118" t="n">
        <f aca="false">VLOOKUP($A187,Table,MATCH(X$4,Curves,0))</f>
        <v>2</v>
      </c>
      <c r="Y187" s="123" t="n">
        <f aca="false">1/(1+CHOOSE(F$3,(X188+($K$3/10000))/2,(X187+($K$3/10000))/2))^(2*W187/365.25)</f>
        <v>256972.164266199</v>
      </c>
      <c r="Z187" s="67" t="n">
        <f aca="false">IF(AND(mthbeg&lt;=A187,mthend&gt;=A187),1,0)</f>
        <v>0</v>
      </c>
      <c r="AA187" s="67" t="n">
        <f aca="false">U187*Z187</f>
        <v>0</v>
      </c>
      <c r="AC187" s="110" t="n">
        <f aca="false">F187*(H187-I187)</f>
        <v>0</v>
      </c>
      <c r="AD187" s="49"/>
      <c r="AE187" s="124"/>
    </row>
    <row r="188" customFormat="false" ht="12" hidden="false" customHeight="true" outlineLevel="0" collapsed="false">
      <c r="A188" s="115" t="n">
        <f aca="false">EDATE(A187,1)</f>
        <v>42675</v>
      </c>
      <c r="B188" s="116" t="n">
        <f aca="false">'Inputs-Summary'!$B$7</f>
        <v>3017157.21662952</v>
      </c>
      <c r="C188" s="57"/>
      <c r="D188" s="117" t="n">
        <f aca="false">B188+C188</f>
        <v>3017157.21662952</v>
      </c>
      <c r="E188" s="106" t="n">
        <f aca="false">IF(Z188=0,0,IF(AND(Z188=1,$H$3=1),D188*U188,IF($H$3=2,D188,"N/A")))</f>
        <v>0</v>
      </c>
      <c r="F188" s="106" t="n">
        <f aca="false">E188*Y188</f>
        <v>0</v>
      </c>
      <c r="G188" s="118" t="n">
        <f aca="false">VLOOKUP($A188,Table,MATCH(G$4,Curves,0))</f>
        <v>3</v>
      </c>
      <c r="H188" s="119" t="n">
        <f aca="false">G188+$H$7</f>
        <v>3</v>
      </c>
      <c r="I188" s="118" t="n">
        <f aca="false">'Inputs-Summary'!$B$16</f>
        <v>1.85</v>
      </c>
      <c r="J188" s="118" t="n">
        <f aca="false">VLOOKUP($A188,Table,MATCH(J$4,Curves,0))</f>
        <v>5</v>
      </c>
      <c r="K188" s="119" t="n">
        <f aca="false">J188+$K$7</f>
        <v>5</v>
      </c>
      <c r="L188" s="120" t="n">
        <f aca="false">K188</f>
        <v>5</v>
      </c>
      <c r="M188" s="118" t="n">
        <f aca="false">VLOOKUP($A188,Table,MATCH(M$4,Curves,0))</f>
        <v>5</v>
      </c>
      <c r="N188" s="119" t="n">
        <f aca="false">M188+$N$7</f>
        <v>5</v>
      </c>
      <c r="O188" s="120" t="n">
        <f aca="false">N188</f>
        <v>5</v>
      </c>
      <c r="P188" s="109"/>
      <c r="Q188" s="120" t="n">
        <f aca="false">IF($F$3=1,M188+J188+G188,J188+G188)</f>
        <v>8</v>
      </c>
      <c r="R188" s="120" t="n">
        <f aca="false">IF($F$3=1,N188+K188+H188,K188+H188)</f>
        <v>8</v>
      </c>
      <c r="S188" s="120" t="n">
        <f aca="false">IF($F$3=1,O188+L188+I188,L188+I188)</f>
        <v>6.85</v>
      </c>
      <c r="T188" s="121"/>
      <c r="U188" s="67" t="n">
        <f aca="false">A189-A188</f>
        <v>30</v>
      </c>
      <c r="V188" s="122" t="n">
        <f aca="false">CHOOSE(F$3,A189+24,A188)</f>
        <v>42675</v>
      </c>
      <c r="W188" s="67" t="n">
        <f aca="false">V188-C$3</f>
        <v>-3251</v>
      </c>
      <c r="X188" s="118" t="n">
        <f aca="false">VLOOKUP($A188,Table,MATCH(X$4,Curves,0))</f>
        <v>2</v>
      </c>
      <c r="Y188" s="123" t="n">
        <f aca="false">1/(1+CHOOSE(F$3,(X189+($K$3/10000))/2,(X188+($K$3/10000))/2))^(2*W188/365.25)</f>
        <v>228447.925781708</v>
      </c>
      <c r="Z188" s="67" t="n">
        <f aca="false">IF(AND(mthbeg&lt;=A188,mthend&gt;=A188),1,0)</f>
        <v>0</v>
      </c>
      <c r="AA188" s="67" t="n">
        <f aca="false">U188*Z188</f>
        <v>0</v>
      </c>
      <c r="AC188" s="110" t="n">
        <f aca="false">F188*(H188-I188)</f>
        <v>0</v>
      </c>
      <c r="AD188" s="49"/>
      <c r="AE188" s="124"/>
    </row>
    <row r="189" customFormat="false" ht="12" hidden="false" customHeight="true" outlineLevel="0" collapsed="false">
      <c r="A189" s="115" t="n">
        <f aca="false">EDATE(A188,1)</f>
        <v>42705</v>
      </c>
      <c r="B189" s="116" t="n">
        <f aca="false">'Inputs-Summary'!$B$7</f>
        <v>3017157.21662952</v>
      </c>
      <c r="C189" s="57"/>
      <c r="D189" s="117" t="n">
        <f aca="false">B189+C189</f>
        <v>3017157.21662952</v>
      </c>
      <c r="E189" s="106" t="n">
        <f aca="false">IF(Z189=0,0,IF(AND(Z189=1,$H$3=1),D189*U189,IF($H$3=2,D189,"N/A")))</f>
        <v>0</v>
      </c>
      <c r="F189" s="106" t="n">
        <f aca="false">E189*Y189</f>
        <v>0</v>
      </c>
      <c r="G189" s="118" t="n">
        <f aca="false">VLOOKUP($A189,Table,MATCH(G$4,Curves,0))</f>
        <v>3</v>
      </c>
      <c r="H189" s="119" t="n">
        <f aca="false">G189+$H$7</f>
        <v>3</v>
      </c>
      <c r="I189" s="118" t="n">
        <f aca="false">'Inputs-Summary'!$B$16</f>
        <v>1.85</v>
      </c>
      <c r="J189" s="118" t="n">
        <f aca="false">VLOOKUP($A189,Table,MATCH(J$4,Curves,0))</f>
        <v>5</v>
      </c>
      <c r="K189" s="119" t="n">
        <f aca="false">J189+$K$7</f>
        <v>5</v>
      </c>
      <c r="L189" s="120" t="n">
        <f aca="false">K189</f>
        <v>5</v>
      </c>
      <c r="M189" s="118" t="n">
        <f aca="false">VLOOKUP($A189,Table,MATCH(M$4,Curves,0))</f>
        <v>5</v>
      </c>
      <c r="N189" s="119" t="n">
        <f aca="false">M189+$N$7</f>
        <v>5</v>
      </c>
      <c r="O189" s="120" t="n">
        <f aca="false">N189</f>
        <v>5</v>
      </c>
      <c r="P189" s="109"/>
      <c r="Q189" s="120" t="n">
        <f aca="false">IF($F$3=1,M189+J189+G189,J189+G189)</f>
        <v>8</v>
      </c>
      <c r="R189" s="120" t="n">
        <f aca="false">IF($F$3=1,N189+K189+H189,K189+H189)</f>
        <v>8</v>
      </c>
      <c r="S189" s="120" t="n">
        <f aca="false">IF($F$3=1,O189+L189+I189,L189+I189)</f>
        <v>6.85</v>
      </c>
      <c r="T189" s="121"/>
      <c r="U189" s="67" t="n">
        <f aca="false">A190-A189</f>
        <v>31</v>
      </c>
      <c r="V189" s="122" t="n">
        <f aca="false">CHOOSE(F$3,A190+24,A189)</f>
        <v>42705</v>
      </c>
      <c r="W189" s="67" t="n">
        <f aca="false">V189-C$3</f>
        <v>-3221</v>
      </c>
      <c r="X189" s="118" t="n">
        <f aca="false">VLOOKUP($A189,Table,MATCH(X$4,Curves,0))</f>
        <v>2</v>
      </c>
      <c r="Y189" s="123" t="n">
        <f aca="false">1/(1+CHOOSE(F$3,(X190+($K$3/10000))/2,(X189+($K$3/10000))/2))^(2*W189/365.25)</f>
        <v>203862.199960047</v>
      </c>
      <c r="Z189" s="67" t="n">
        <f aca="false">IF(AND(mthbeg&lt;=A189,mthend&gt;=A189),1,0)</f>
        <v>0</v>
      </c>
      <c r="AA189" s="67" t="n">
        <f aca="false">U189*Z189</f>
        <v>0</v>
      </c>
      <c r="AC189" s="110" t="n">
        <f aca="false">F189*(H189-I189)</f>
        <v>0</v>
      </c>
      <c r="AD189" s="49"/>
      <c r="AE189" s="124"/>
    </row>
    <row r="190" customFormat="false" ht="12" hidden="false" customHeight="true" outlineLevel="0" collapsed="false">
      <c r="A190" s="115" t="n">
        <f aca="false">EDATE(A189,1)</f>
        <v>42736</v>
      </c>
      <c r="B190" s="116" t="n">
        <f aca="false">'Inputs-Summary'!$B$7</f>
        <v>3017157.21662952</v>
      </c>
      <c r="C190" s="57"/>
      <c r="D190" s="117" t="n">
        <f aca="false">B190+C190</f>
        <v>3017157.21662952</v>
      </c>
      <c r="E190" s="106" t="n">
        <f aca="false">IF(Z190=0,0,IF(AND(Z190=1,$H$3=1),D190*U190,IF($H$3=2,D190,"N/A")))</f>
        <v>0</v>
      </c>
      <c r="F190" s="106" t="n">
        <f aca="false">E190*Y190</f>
        <v>0</v>
      </c>
      <c r="G190" s="118" t="n">
        <f aca="false">VLOOKUP($A190,Table,MATCH(G$4,Curves,0))</f>
        <v>3</v>
      </c>
      <c r="H190" s="119" t="n">
        <f aca="false">G190+$H$7</f>
        <v>3</v>
      </c>
      <c r="I190" s="118" t="n">
        <f aca="false">'Inputs-Summary'!$B$16</f>
        <v>1.85</v>
      </c>
      <c r="J190" s="118" t="n">
        <f aca="false">VLOOKUP($A190,Table,MATCH(J$4,Curves,0))</f>
        <v>5</v>
      </c>
      <c r="K190" s="119" t="n">
        <f aca="false">J190+$K$7</f>
        <v>5</v>
      </c>
      <c r="L190" s="120" t="n">
        <f aca="false">K190</f>
        <v>5</v>
      </c>
      <c r="M190" s="118" t="n">
        <f aca="false">VLOOKUP($A190,Table,MATCH(M$4,Curves,0))</f>
        <v>5</v>
      </c>
      <c r="N190" s="119" t="n">
        <f aca="false">M190+$N$7</f>
        <v>5</v>
      </c>
      <c r="O190" s="120" t="n">
        <f aca="false">N190</f>
        <v>5</v>
      </c>
      <c r="P190" s="109"/>
      <c r="Q190" s="120" t="n">
        <f aca="false">IF($F$3=1,M190+J190+G190,J190+G190)</f>
        <v>8</v>
      </c>
      <c r="R190" s="120" t="n">
        <f aca="false">IF($F$3=1,N190+K190+H190,K190+H190)</f>
        <v>8</v>
      </c>
      <c r="S190" s="120" t="n">
        <f aca="false">IF($F$3=1,O190+L190+I190,L190+I190)</f>
        <v>6.85</v>
      </c>
      <c r="T190" s="121"/>
      <c r="U190" s="67" t="n">
        <f aca="false">A191-A190</f>
        <v>31</v>
      </c>
      <c r="V190" s="122" t="n">
        <f aca="false">CHOOSE(F$3,A191+24,A190)</f>
        <v>42736</v>
      </c>
      <c r="W190" s="67" t="n">
        <f aca="false">V190-C$3</f>
        <v>-3190</v>
      </c>
      <c r="X190" s="118" t="n">
        <f aca="false">VLOOKUP($A190,Table,MATCH(X$4,Curves,0))</f>
        <v>2</v>
      </c>
      <c r="Y190" s="123" t="n">
        <f aca="false">1/(1+CHOOSE(F$3,(X191+($K$3/10000))/2,(X190+($K$3/10000))/2))^(2*W190/365.25)</f>
        <v>181233.235355112</v>
      </c>
      <c r="Z190" s="67" t="n">
        <f aca="false">IF(AND(mthbeg&lt;=A190,mthend&gt;=A190),1,0)</f>
        <v>0</v>
      </c>
      <c r="AA190" s="67" t="n">
        <f aca="false">U190*Z190</f>
        <v>0</v>
      </c>
      <c r="AC190" s="110" t="n">
        <f aca="false">F190*(H190-I190)</f>
        <v>0</v>
      </c>
      <c r="AD190" s="49"/>
      <c r="AE190" s="124"/>
    </row>
    <row r="191" customFormat="false" ht="12" hidden="false" customHeight="true" outlineLevel="0" collapsed="false">
      <c r="A191" s="115" t="n">
        <f aca="false">EDATE(A190,1)</f>
        <v>42767</v>
      </c>
      <c r="B191" s="116" t="n">
        <f aca="false">'Inputs-Summary'!$B$7</f>
        <v>3017157.21662952</v>
      </c>
      <c r="C191" s="57"/>
      <c r="D191" s="117" t="n">
        <f aca="false">B191+C191</f>
        <v>3017157.21662952</v>
      </c>
      <c r="E191" s="106" t="n">
        <f aca="false">IF(Z191=0,0,IF(AND(Z191=1,$H$3=1),D191*U191,IF($H$3=2,D191,"N/A")))</f>
        <v>0</v>
      </c>
      <c r="F191" s="106" t="n">
        <f aca="false">E191*Y191</f>
        <v>0</v>
      </c>
      <c r="G191" s="118" t="n">
        <f aca="false">VLOOKUP($A191,Table,MATCH(G$4,Curves,0))</f>
        <v>3</v>
      </c>
      <c r="H191" s="119" t="n">
        <f aca="false">G191+$H$7</f>
        <v>3</v>
      </c>
      <c r="I191" s="118" t="n">
        <f aca="false">'Inputs-Summary'!$B$16</f>
        <v>1.85</v>
      </c>
      <c r="J191" s="118" t="n">
        <f aca="false">VLOOKUP($A191,Table,MATCH(J$4,Curves,0))</f>
        <v>5</v>
      </c>
      <c r="K191" s="119" t="n">
        <f aca="false">J191+$K$7</f>
        <v>5</v>
      </c>
      <c r="L191" s="120" t="n">
        <f aca="false">K191</f>
        <v>5</v>
      </c>
      <c r="M191" s="118" t="n">
        <f aca="false">VLOOKUP($A191,Table,MATCH(M$4,Curves,0))</f>
        <v>5</v>
      </c>
      <c r="N191" s="119" t="n">
        <f aca="false">M191+$N$7</f>
        <v>5</v>
      </c>
      <c r="O191" s="120" t="n">
        <f aca="false">N191</f>
        <v>5</v>
      </c>
      <c r="P191" s="109"/>
      <c r="Q191" s="120" t="n">
        <f aca="false">IF($F$3=1,M191+J191+G191,J191+G191)</f>
        <v>8</v>
      </c>
      <c r="R191" s="120" t="n">
        <f aca="false">IF($F$3=1,N191+K191+H191,K191+H191)</f>
        <v>8</v>
      </c>
      <c r="S191" s="120" t="n">
        <f aca="false">IF($F$3=1,O191+L191+I191,L191+I191)</f>
        <v>6.85</v>
      </c>
      <c r="T191" s="121"/>
      <c r="U191" s="67" t="n">
        <f aca="false">A192-A191</f>
        <v>28</v>
      </c>
      <c r="V191" s="122" t="n">
        <f aca="false">CHOOSE(F$3,A192+24,A191)</f>
        <v>42767</v>
      </c>
      <c r="W191" s="67" t="n">
        <f aca="false">V191-C$3</f>
        <v>-3159</v>
      </c>
      <c r="X191" s="118" t="n">
        <f aca="false">VLOOKUP($A191,Table,MATCH(X$4,Curves,0))</f>
        <v>2</v>
      </c>
      <c r="Y191" s="123" t="n">
        <f aca="false">1/(1+CHOOSE(F$3,(X192+($K$3/10000))/2,(X191+($K$3/10000))/2))^(2*W191/365.25)</f>
        <v>161116.114727097</v>
      </c>
      <c r="Z191" s="67" t="n">
        <f aca="false">IF(AND(mthbeg&lt;=A191,mthend&gt;=A191),1,0)</f>
        <v>0</v>
      </c>
      <c r="AA191" s="67" t="n">
        <f aca="false">U191*Z191</f>
        <v>0</v>
      </c>
      <c r="AC191" s="110" t="n">
        <f aca="false">F191*(H191-I191)</f>
        <v>0</v>
      </c>
      <c r="AD191" s="49"/>
      <c r="AE191" s="124"/>
    </row>
    <row r="192" customFormat="false" ht="12" hidden="false" customHeight="true" outlineLevel="0" collapsed="false">
      <c r="A192" s="115" t="n">
        <f aca="false">EDATE(A191,1)</f>
        <v>42795</v>
      </c>
      <c r="B192" s="116" t="n">
        <f aca="false">'Inputs-Summary'!$B$7</f>
        <v>3017157.21662952</v>
      </c>
      <c r="C192" s="57"/>
      <c r="D192" s="117" t="n">
        <f aca="false">B192+C192</f>
        <v>3017157.21662952</v>
      </c>
      <c r="E192" s="106" t="n">
        <f aca="false">IF(Z192=0,0,IF(AND(Z192=1,$H$3=1),D192*U192,IF($H$3=2,D192,"N/A")))</f>
        <v>0</v>
      </c>
      <c r="F192" s="106" t="n">
        <f aca="false">E192*Y192</f>
        <v>0</v>
      </c>
      <c r="G192" s="118" t="n">
        <f aca="false">VLOOKUP($A192,Table,MATCH(G$4,Curves,0))</f>
        <v>3</v>
      </c>
      <c r="H192" s="119" t="n">
        <f aca="false">G192+$H$7</f>
        <v>3</v>
      </c>
      <c r="I192" s="118" t="n">
        <f aca="false">'Inputs-Summary'!$B$16</f>
        <v>1.85</v>
      </c>
      <c r="J192" s="118" t="n">
        <f aca="false">VLOOKUP($A192,Table,MATCH(J$4,Curves,0))</f>
        <v>5</v>
      </c>
      <c r="K192" s="119" t="n">
        <f aca="false">J192+$K$7</f>
        <v>5</v>
      </c>
      <c r="L192" s="120" t="n">
        <f aca="false">K192</f>
        <v>5</v>
      </c>
      <c r="M192" s="118" t="n">
        <f aca="false">VLOOKUP($A192,Table,MATCH(M$4,Curves,0))</f>
        <v>5</v>
      </c>
      <c r="N192" s="119" t="n">
        <f aca="false">M192+$N$7</f>
        <v>5</v>
      </c>
      <c r="O192" s="120" t="n">
        <f aca="false">N192</f>
        <v>5</v>
      </c>
      <c r="P192" s="109"/>
      <c r="Q192" s="120" t="n">
        <f aca="false">IF($F$3=1,M192+J192+G192,J192+G192)</f>
        <v>8</v>
      </c>
      <c r="R192" s="120" t="n">
        <f aca="false">IF($F$3=1,N192+K192+H192,K192+H192)</f>
        <v>8</v>
      </c>
      <c r="S192" s="120" t="n">
        <f aca="false">IF($F$3=1,O192+L192+I192,L192+I192)</f>
        <v>6.85</v>
      </c>
      <c r="T192" s="121"/>
      <c r="U192" s="67" t="n">
        <f aca="false">A193-A192</f>
        <v>31</v>
      </c>
      <c r="V192" s="122" t="n">
        <f aca="false">CHOOSE(F$3,A193+24,A192)</f>
        <v>42795</v>
      </c>
      <c r="W192" s="67" t="n">
        <f aca="false">V192-C$3</f>
        <v>-3131</v>
      </c>
      <c r="X192" s="118" t="n">
        <f aca="false">VLOOKUP($A192,Table,MATCH(X$4,Curves,0))</f>
        <v>2</v>
      </c>
      <c r="Y192" s="123" t="n">
        <f aca="false">1/(1+CHOOSE(F$3,(X193+($K$3/10000))/2,(X192+($K$3/10000))/2))^(2*W192/365.25)</f>
        <v>144872.237817119</v>
      </c>
      <c r="Z192" s="67" t="n">
        <f aca="false">IF(AND(mthbeg&lt;=A192,mthend&gt;=A192),1,0)</f>
        <v>0</v>
      </c>
      <c r="AA192" s="67" t="n">
        <f aca="false">U192*Z192</f>
        <v>0</v>
      </c>
      <c r="AC192" s="110" t="n">
        <f aca="false">F192*(H192-I192)</f>
        <v>0</v>
      </c>
      <c r="AD192" s="49"/>
      <c r="AE192" s="124"/>
    </row>
    <row r="193" customFormat="false" ht="12" hidden="false" customHeight="true" outlineLevel="0" collapsed="false">
      <c r="A193" s="115" t="n">
        <f aca="false">EDATE(A192,1)</f>
        <v>42826</v>
      </c>
      <c r="B193" s="116" t="n">
        <f aca="false">'Inputs-Summary'!$B$7</f>
        <v>3017157.21662952</v>
      </c>
      <c r="C193" s="57"/>
      <c r="D193" s="117" t="n">
        <f aca="false">B193+C193</f>
        <v>3017157.21662952</v>
      </c>
      <c r="E193" s="106" t="n">
        <f aca="false">IF(Z193=0,0,IF(AND(Z193=1,$H$3=1),D193*U193,IF($H$3=2,D193,"N/A")))</f>
        <v>0</v>
      </c>
      <c r="F193" s="106" t="n">
        <f aca="false">E193*Y193</f>
        <v>0</v>
      </c>
      <c r="G193" s="118" t="n">
        <f aca="false">VLOOKUP($A193,Table,MATCH(G$4,Curves,0))</f>
        <v>3</v>
      </c>
      <c r="H193" s="119" t="n">
        <f aca="false">G193+$H$7</f>
        <v>3</v>
      </c>
      <c r="I193" s="118" t="n">
        <f aca="false">'Inputs-Summary'!$B$16</f>
        <v>1.85</v>
      </c>
      <c r="J193" s="118" t="n">
        <f aca="false">VLOOKUP($A193,Table,MATCH(J$4,Curves,0))</f>
        <v>5</v>
      </c>
      <c r="K193" s="119" t="n">
        <f aca="false">J193+$K$7</f>
        <v>5</v>
      </c>
      <c r="L193" s="120" t="n">
        <f aca="false">K193</f>
        <v>5</v>
      </c>
      <c r="M193" s="118" t="n">
        <f aca="false">VLOOKUP($A193,Table,MATCH(M$4,Curves,0))</f>
        <v>5</v>
      </c>
      <c r="N193" s="119" t="n">
        <f aca="false">M193+$N$7</f>
        <v>5</v>
      </c>
      <c r="O193" s="120" t="n">
        <f aca="false">N193</f>
        <v>5</v>
      </c>
      <c r="P193" s="109"/>
      <c r="Q193" s="120" t="n">
        <f aca="false">IF($F$3=1,M193+J193+G193,J193+G193)</f>
        <v>8</v>
      </c>
      <c r="R193" s="120" t="n">
        <f aca="false">IF($F$3=1,N193+K193+H193,K193+H193)</f>
        <v>8</v>
      </c>
      <c r="S193" s="120" t="n">
        <f aca="false">IF($F$3=1,O193+L193+I193,L193+I193)</f>
        <v>6.85</v>
      </c>
      <c r="T193" s="121"/>
      <c r="U193" s="67" t="n">
        <f aca="false">A194-A193</f>
        <v>30</v>
      </c>
      <c r="V193" s="122" t="n">
        <f aca="false">CHOOSE(F$3,A194+24,A193)</f>
        <v>42826</v>
      </c>
      <c r="W193" s="67" t="n">
        <f aca="false">V193-C$3</f>
        <v>-3100</v>
      </c>
      <c r="X193" s="118" t="n">
        <f aca="false">VLOOKUP($A193,Table,MATCH(X$4,Curves,0))</f>
        <v>2</v>
      </c>
      <c r="Y193" s="123" t="n">
        <f aca="false">1/(1+CHOOSE(F$3,(X194+($K$3/10000))/2,(X193+($K$3/10000))/2))^(2*W193/365.25)</f>
        <v>128791.23436261</v>
      </c>
      <c r="Z193" s="67" t="n">
        <f aca="false">IF(AND(mthbeg&lt;=A193,mthend&gt;=A193),1,0)</f>
        <v>0</v>
      </c>
      <c r="AA193" s="67" t="n">
        <f aca="false">U193*Z193</f>
        <v>0</v>
      </c>
      <c r="AC193" s="110" t="n">
        <f aca="false">F193*(H193-I193)</f>
        <v>0</v>
      </c>
      <c r="AD193" s="49"/>
      <c r="AE193" s="124"/>
    </row>
    <row r="194" customFormat="false" ht="12" hidden="false" customHeight="true" outlineLevel="0" collapsed="false">
      <c r="A194" s="115" t="n">
        <f aca="false">EDATE(A193,1)</f>
        <v>42856</v>
      </c>
      <c r="B194" s="116" t="n">
        <f aca="false">'Inputs-Summary'!$B$7</f>
        <v>3017157.21662952</v>
      </c>
      <c r="C194" s="57"/>
      <c r="D194" s="117" t="n">
        <f aca="false">B194+C194</f>
        <v>3017157.21662952</v>
      </c>
      <c r="E194" s="106" t="n">
        <f aca="false">IF(Z194=0,0,IF(AND(Z194=1,$H$3=1),D194*U194,IF($H$3=2,D194,"N/A")))</f>
        <v>0</v>
      </c>
      <c r="F194" s="106" t="n">
        <f aca="false">E194*Y194</f>
        <v>0</v>
      </c>
      <c r="G194" s="118" t="n">
        <f aca="false">VLOOKUP($A194,Table,MATCH(G$4,Curves,0))</f>
        <v>3</v>
      </c>
      <c r="H194" s="119" t="n">
        <f aca="false">G194+$H$7</f>
        <v>3</v>
      </c>
      <c r="I194" s="118" t="n">
        <f aca="false">'Inputs-Summary'!$B$16</f>
        <v>1.85</v>
      </c>
      <c r="J194" s="118" t="n">
        <f aca="false">VLOOKUP($A194,Table,MATCH(J$4,Curves,0))</f>
        <v>5</v>
      </c>
      <c r="K194" s="119" t="n">
        <f aca="false">J194+$K$7</f>
        <v>5</v>
      </c>
      <c r="L194" s="120" t="n">
        <f aca="false">K194</f>
        <v>5</v>
      </c>
      <c r="M194" s="118" t="n">
        <f aca="false">VLOOKUP($A194,Table,MATCH(M$4,Curves,0))</f>
        <v>5</v>
      </c>
      <c r="N194" s="119" t="n">
        <f aca="false">M194+$N$7</f>
        <v>5</v>
      </c>
      <c r="O194" s="120" t="n">
        <f aca="false">N194</f>
        <v>5</v>
      </c>
      <c r="P194" s="109"/>
      <c r="Q194" s="120" t="n">
        <f aca="false">IF($F$3=1,M194+J194+G194,J194+G194)</f>
        <v>8</v>
      </c>
      <c r="R194" s="120" t="n">
        <f aca="false">IF($F$3=1,N194+K194+H194,K194+H194)</f>
        <v>8</v>
      </c>
      <c r="S194" s="120" t="n">
        <f aca="false">IF($F$3=1,O194+L194+I194,L194+I194)</f>
        <v>6.85</v>
      </c>
      <c r="T194" s="121"/>
      <c r="U194" s="67" t="n">
        <f aca="false">A195-A194</f>
        <v>31</v>
      </c>
      <c r="V194" s="122" t="n">
        <f aca="false">CHOOSE(F$3,A195+24,A194)</f>
        <v>42856</v>
      </c>
      <c r="W194" s="67" t="n">
        <f aca="false">V194-C$3</f>
        <v>-3070</v>
      </c>
      <c r="X194" s="118" t="n">
        <f aca="false">VLOOKUP($A194,Table,MATCH(X$4,Curves,0))</f>
        <v>2</v>
      </c>
      <c r="Y194" s="123" t="n">
        <f aca="false">1/(1+CHOOSE(F$3,(X195+($K$3/10000))/2,(X194+($K$3/10000))/2))^(2*W194/365.25)</f>
        <v>114930.63149026</v>
      </c>
      <c r="Z194" s="67" t="n">
        <f aca="false">IF(AND(mthbeg&lt;=A194,mthend&gt;=A194),1,0)</f>
        <v>0</v>
      </c>
      <c r="AA194" s="67" t="n">
        <f aca="false">U194*Z194</f>
        <v>0</v>
      </c>
      <c r="AC194" s="110" t="n">
        <f aca="false">F194*(H194-I194)</f>
        <v>0</v>
      </c>
      <c r="AD194" s="49"/>
      <c r="AE194" s="124"/>
    </row>
    <row r="195" customFormat="false" ht="12" hidden="false" customHeight="true" outlineLevel="0" collapsed="false">
      <c r="A195" s="115" t="n">
        <f aca="false">EDATE(A194,1)</f>
        <v>42887</v>
      </c>
      <c r="B195" s="116" t="n">
        <f aca="false">'Inputs-Summary'!$B$7</f>
        <v>3017157.21662952</v>
      </c>
      <c r="C195" s="57"/>
      <c r="D195" s="117" t="n">
        <f aca="false">B195+C195</f>
        <v>3017157.21662952</v>
      </c>
      <c r="E195" s="106" t="n">
        <f aca="false">IF(Z195=0,0,IF(AND(Z195=1,$H$3=1),D195*U195,IF($H$3=2,D195,"N/A")))</f>
        <v>0</v>
      </c>
      <c r="F195" s="106" t="n">
        <f aca="false">E195*Y195</f>
        <v>0</v>
      </c>
      <c r="G195" s="118" t="n">
        <f aca="false">VLOOKUP($A195,Table,MATCH(G$4,Curves,0))</f>
        <v>3</v>
      </c>
      <c r="H195" s="119" t="n">
        <f aca="false">G195+$H$7</f>
        <v>3</v>
      </c>
      <c r="I195" s="118" t="n">
        <f aca="false">'Inputs-Summary'!$B$16</f>
        <v>1.85</v>
      </c>
      <c r="J195" s="118" t="n">
        <f aca="false">VLOOKUP($A195,Table,MATCH(J$4,Curves,0))</f>
        <v>5</v>
      </c>
      <c r="K195" s="119" t="n">
        <f aca="false">J195+$K$7</f>
        <v>5</v>
      </c>
      <c r="L195" s="120" t="n">
        <f aca="false">K195</f>
        <v>5</v>
      </c>
      <c r="M195" s="118" t="n">
        <f aca="false">VLOOKUP($A195,Table,MATCH(M$4,Curves,0))</f>
        <v>5</v>
      </c>
      <c r="N195" s="119" t="n">
        <f aca="false">M195+$N$7</f>
        <v>5</v>
      </c>
      <c r="O195" s="120" t="n">
        <f aca="false">N195</f>
        <v>5</v>
      </c>
      <c r="P195" s="109"/>
      <c r="Q195" s="120" t="n">
        <f aca="false">IF($F$3=1,M195+J195+G195,J195+G195)</f>
        <v>8</v>
      </c>
      <c r="R195" s="120" t="n">
        <f aca="false">IF($F$3=1,N195+K195+H195,K195+H195)</f>
        <v>8</v>
      </c>
      <c r="S195" s="120" t="n">
        <f aca="false">IF($F$3=1,O195+L195+I195,L195+I195)</f>
        <v>6.85</v>
      </c>
      <c r="T195" s="121"/>
      <c r="U195" s="67" t="n">
        <f aca="false">A196-A195</f>
        <v>30</v>
      </c>
      <c r="V195" s="122" t="n">
        <f aca="false">CHOOSE(F$3,A196+24,A195)</f>
        <v>42887</v>
      </c>
      <c r="W195" s="67" t="n">
        <f aca="false">V195-C$3</f>
        <v>-3039</v>
      </c>
      <c r="X195" s="118" t="n">
        <f aca="false">VLOOKUP($A195,Table,MATCH(X$4,Curves,0))</f>
        <v>2</v>
      </c>
      <c r="Y195" s="123" t="n">
        <f aca="false">1/(1+CHOOSE(F$3,(X196+($K$3/10000))/2,(X195+($K$3/10000))/2))^(2*W195/365.25)</f>
        <v>102173.184584823</v>
      </c>
      <c r="Z195" s="67" t="n">
        <f aca="false">IF(AND(mthbeg&lt;=A195,mthend&gt;=A195),1,0)</f>
        <v>0</v>
      </c>
      <c r="AA195" s="67" t="n">
        <f aca="false">U195*Z195</f>
        <v>0</v>
      </c>
      <c r="AC195" s="110" t="n">
        <f aca="false">F195*(H195-I195)</f>
        <v>0</v>
      </c>
      <c r="AD195" s="49"/>
      <c r="AE195" s="124"/>
    </row>
    <row r="196" customFormat="false" ht="12" hidden="false" customHeight="true" outlineLevel="0" collapsed="false">
      <c r="A196" s="115" t="n">
        <f aca="false">EDATE(A195,1)</f>
        <v>42917</v>
      </c>
      <c r="B196" s="116" t="n">
        <f aca="false">'Inputs-Summary'!$B$7</f>
        <v>3017157.21662952</v>
      </c>
      <c r="C196" s="57"/>
      <c r="D196" s="117" t="n">
        <f aca="false">B196+C196</f>
        <v>3017157.21662952</v>
      </c>
      <c r="E196" s="106" t="n">
        <f aca="false">IF(Z196=0,0,IF(AND(Z196=1,$H$3=1),D196*U196,IF($H$3=2,D196,"N/A")))</f>
        <v>0</v>
      </c>
      <c r="F196" s="106" t="n">
        <f aca="false">E196*Y196</f>
        <v>0</v>
      </c>
      <c r="G196" s="118" t="n">
        <f aca="false">VLOOKUP($A196,Table,MATCH(G$4,Curves,0))</f>
        <v>3</v>
      </c>
      <c r="H196" s="119" t="n">
        <f aca="false">G196+$H$7</f>
        <v>3</v>
      </c>
      <c r="I196" s="118" t="n">
        <f aca="false">'Inputs-Summary'!$B$16</f>
        <v>1.85</v>
      </c>
      <c r="J196" s="118" t="n">
        <f aca="false">VLOOKUP($A196,Table,MATCH(J$4,Curves,0))</f>
        <v>5</v>
      </c>
      <c r="K196" s="119" t="n">
        <f aca="false">J196+$K$7</f>
        <v>5</v>
      </c>
      <c r="L196" s="120" t="n">
        <f aca="false">K196</f>
        <v>5</v>
      </c>
      <c r="M196" s="118" t="n">
        <f aca="false">VLOOKUP($A196,Table,MATCH(M$4,Curves,0))</f>
        <v>5</v>
      </c>
      <c r="N196" s="119" t="n">
        <f aca="false">M196+$N$7</f>
        <v>5</v>
      </c>
      <c r="O196" s="120" t="n">
        <f aca="false">N196</f>
        <v>5</v>
      </c>
      <c r="P196" s="109"/>
      <c r="Q196" s="120" t="n">
        <f aca="false">IF($F$3=1,M196+J196+G196,J196+G196)</f>
        <v>8</v>
      </c>
      <c r="R196" s="120" t="n">
        <f aca="false">IF($F$3=1,N196+K196+H196,K196+H196)</f>
        <v>8</v>
      </c>
      <c r="S196" s="120" t="n">
        <f aca="false">IF($F$3=1,O196+L196+I196,L196+I196)</f>
        <v>6.85</v>
      </c>
      <c r="T196" s="121"/>
      <c r="U196" s="67" t="n">
        <f aca="false">A197-A196</f>
        <v>31</v>
      </c>
      <c r="V196" s="122" t="n">
        <f aca="false">CHOOSE(F$3,A197+24,A196)</f>
        <v>42917</v>
      </c>
      <c r="W196" s="67" t="n">
        <f aca="false">V196-C$3</f>
        <v>-3009</v>
      </c>
      <c r="X196" s="118" t="n">
        <f aca="false">VLOOKUP($A196,Table,MATCH(X$4,Curves,0))</f>
        <v>2</v>
      </c>
      <c r="Y196" s="123" t="n">
        <f aca="false">1/(1+CHOOSE(F$3,(X197+($K$3/10000))/2,(X196+($K$3/10000))/2))^(2*W196/365.25)</f>
        <v>91177.2348779794</v>
      </c>
      <c r="Z196" s="67" t="n">
        <f aca="false">IF(AND(mthbeg&lt;=A196,mthend&gt;=A196),1,0)</f>
        <v>0</v>
      </c>
      <c r="AA196" s="67" t="n">
        <f aca="false">U196*Z196</f>
        <v>0</v>
      </c>
      <c r="AC196" s="110" t="n">
        <f aca="false">F196*(H196-I196)</f>
        <v>0</v>
      </c>
      <c r="AD196" s="49"/>
      <c r="AE196" s="124"/>
    </row>
    <row r="197" customFormat="false" ht="12" hidden="false" customHeight="true" outlineLevel="0" collapsed="false">
      <c r="A197" s="115" t="n">
        <f aca="false">EDATE(A196,1)</f>
        <v>42948</v>
      </c>
      <c r="B197" s="116" t="n">
        <f aca="false">'Inputs-Summary'!$B$7</f>
        <v>3017157.21662952</v>
      </c>
      <c r="C197" s="57"/>
      <c r="D197" s="117" t="n">
        <f aca="false">B197+C197</f>
        <v>3017157.21662952</v>
      </c>
      <c r="E197" s="106" t="n">
        <f aca="false">IF(Z197=0,0,IF(AND(Z197=1,$H$3=1),D197*U197,IF($H$3=2,D197,"N/A")))</f>
        <v>0</v>
      </c>
      <c r="F197" s="106" t="n">
        <f aca="false">E197*Y197</f>
        <v>0</v>
      </c>
      <c r="G197" s="118" t="n">
        <f aca="false">VLOOKUP($A197,Table,MATCH(G$4,Curves,0))</f>
        <v>3</v>
      </c>
      <c r="H197" s="119" t="n">
        <f aca="false">G197+$H$7</f>
        <v>3</v>
      </c>
      <c r="I197" s="118" t="n">
        <f aca="false">'Inputs-Summary'!$B$16</f>
        <v>1.85</v>
      </c>
      <c r="J197" s="118" t="n">
        <f aca="false">VLOOKUP($A197,Table,MATCH(J$4,Curves,0))</f>
        <v>5</v>
      </c>
      <c r="K197" s="119" t="n">
        <f aca="false">J197+$K$7</f>
        <v>5</v>
      </c>
      <c r="L197" s="120" t="n">
        <f aca="false">K197</f>
        <v>5</v>
      </c>
      <c r="M197" s="118" t="n">
        <f aca="false">VLOOKUP($A197,Table,MATCH(M$4,Curves,0))</f>
        <v>5</v>
      </c>
      <c r="N197" s="119" t="n">
        <f aca="false">M197+$N$7</f>
        <v>5</v>
      </c>
      <c r="O197" s="120" t="n">
        <f aca="false">N197</f>
        <v>5</v>
      </c>
      <c r="P197" s="109"/>
      <c r="Q197" s="120" t="n">
        <f aca="false">IF($F$3=1,M197+J197+G197,J197+G197)</f>
        <v>8</v>
      </c>
      <c r="R197" s="120" t="n">
        <f aca="false">IF($F$3=1,N197+K197+H197,K197+H197)</f>
        <v>8</v>
      </c>
      <c r="S197" s="120" t="n">
        <f aca="false">IF($F$3=1,O197+L197+I197,L197+I197)</f>
        <v>6.85</v>
      </c>
      <c r="T197" s="121"/>
      <c r="U197" s="67" t="n">
        <f aca="false">A198-A197</f>
        <v>31</v>
      </c>
      <c r="V197" s="122" t="n">
        <f aca="false">CHOOSE(F$3,A198+24,A197)</f>
        <v>42948</v>
      </c>
      <c r="W197" s="67" t="n">
        <f aca="false">V197-C$3</f>
        <v>-2978</v>
      </c>
      <c r="X197" s="118" t="n">
        <f aca="false">VLOOKUP($A197,Table,MATCH(X$4,Curves,0))</f>
        <v>2</v>
      </c>
      <c r="Y197" s="123" t="n">
        <f aca="false">1/(1+CHOOSE(F$3,(X198+($K$3/10000))/2,(X197+($K$3/10000))/2))^(2*W197/365.25)</f>
        <v>81056.4453386042</v>
      </c>
      <c r="Z197" s="67" t="n">
        <f aca="false">IF(AND(mthbeg&lt;=A197,mthend&gt;=A197),1,0)</f>
        <v>0</v>
      </c>
      <c r="AA197" s="67" t="n">
        <f aca="false">U197*Z197</f>
        <v>0</v>
      </c>
      <c r="AC197" s="110" t="n">
        <f aca="false">F197*(H197-I197)</f>
        <v>0</v>
      </c>
      <c r="AD197" s="49"/>
      <c r="AE197" s="124"/>
    </row>
    <row r="198" customFormat="false" ht="12" hidden="false" customHeight="true" outlineLevel="0" collapsed="false">
      <c r="A198" s="115" t="n">
        <f aca="false">EDATE(A197,1)</f>
        <v>42979</v>
      </c>
      <c r="B198" s="116" t="n">
        <f aca="false">'Inputs-Summary'!$B$7</f>
        <v>3017157.21662952</v>
      </c>
      <c r="C198" s="57"/>
      <c r="D198" s="117" t="n">
        <f aca="false">B198+C198</f>
        <v>3017157.21662952</v>
      </c>
      <c r="E198" s="106" t="n">
        <f aca="false">IF(Z198=0,0,IF(AND(Z198=1,$H$3=1),D198*U198,IF($H$3=2,D198,"N/A")))</f>
        <v>0</v>
      </c>
      <c r="F198" s="106" t="n">
        <f aca="false">E198*Y198</f>
        <v>0</v>
      </c>
      <c r="G198" s="118" t="n">
        <f aca="false">VLOOKUP($A198,Table,MATCH(G$4,Curves,0))</f>
        <v>3</v>
      </c>
      <c r="H198" s="119" t="n">
        <f aca="false">G198+$H$7</f>
        <v>3</v>
      </c>
      <c r="I198" s="118" t="n">
        <f aca="false">'Inputs-Summary'!$B$16</f>
        <v>1.85</v>
      </c>
      <c r="J198" s="118" t="n">
        <f aca="false">VLOOKUP($A198,Table,MATCH(J$4,Curves,0))</f>
        <v>5</v>
      </c>
      <c r="K198" s="119" t="n">
        <f aca="false">J198+$K$7</f>
        <v>5</v>
      </c>
      <c r="L198" s="120" t="n">
        <f aca="false">K198</f>
        <v>5</v>
      </c>
      <c r="M198" s="118" t="n">
        <f aca="false">VLOOKUP($A198,Table,MATCH(M$4,Curves,0))</f>
        <v>5</v>
      </c>
      <c r="N198" s="119" t="n">
        <f aca="false">M198+$N$7</f>
        <v>5</v>
      </c>
      <c r="O198" s="120" t="n">
        <f aca="false">N198</f>
        <v>5</v>
      </c>
      <c r="P198" s="109"/>
      <c r="Q198" s="120" t="n">
        <f aca="false">IF($F$3=1,M198+J198+G198,J198+G198)</f>
        <v>8</v>
      </c>
      <c r="R198" s="120" t="n">
        <f aca="false">IF($F$3=1,N198+K198+H198,K198+H198)</f>
        <v>8</v>
      </c>
      <c r="S198" s="120" t="n">
        <f aca="false">IF($F$3=1,O198+L198+I198,L198+I198)</f>
        <v>6.85</v>
      </c>
      <c r="T198" s="121"/>
      <c r="U198" s="67" t="n">
        <f aca="false">A199-A198</f>
        <v>30</v>
      </c>
      <c r="V198" s="122" t="n">
        <f aca="false">CHOOSE(F$3,A199+24,A198)</f>
        <v>42979</v>
      </c>
      <c r="W198" s="67" t="n">
        <f aca="false">V198-C$3</f>
        <v>-2947</v>
      </c>
      <c r="X198" s="118" t="n">
        <f aca="false">VLOOKUP($A198,Table,MATCH(X$4,Curves,0))</f>
        <v>2</v>
      </c>
      <c r="Y198" s="123" t="n">
        <f aca="false">1/(1+CHOOSE(F$3,(X199+($K$3/10000))/2,(X198+($K$3/10000))/2))^(2*W198/365.25)</f>
        <v>72059.0763661875</v>
      </c>
      <c r="Z198" s="67" t="n">
        <f aca="false">IF(AND(mthbeg&lt;=A198,mthend&gt;=A198),1,0)</f>
        <v>0</v>
      </c>
      <c r="AA198" s="67" t="n">
        <f aca="false">U198*Z198</f>
        <v>0</v>
      </c>
      <c r="AC198" s="110" t="n">
        <f aca="false">F198*(H198-I198)</f>
        <v>0</v>
      </c>
      <c r="AD198" s="49"/>
      <c r="AE198" s="124"/>
    </row>
    <row r="199" customFormat="false" ht="12" hidden="false" customHeight="true" outlineLevel="0" collapsed="false">
      <c r="A199" s="115" t="n">
        <f aca="false">EDATE(A198,1)</f>
        <v>43009</v>
      </c>
      <c r="B199" s="116" t="n">
        <f aca="false">'Inputs-Summary'!$B$7</f>
        <v>3017157.21662952</v>
      </c>
      <c r="C199" s="57"/>
      <c r="D199" s="117" t="n">
        <f aca="false">B199+C199</f>
        <v>3017157.21662952</v>
      </c>
      <c r="E199" s="106" t="n">
        <f aca="false">IF(Z199=0,0,IF(AND(Z199=1,$H$3=1),D199*U199,IF($H$3=2,D199,"N/A")))</f>
        <v>0</v>
      </c>
      <c r="F199" s="106" t="n">
        <f aca="false">E199*Y199</f>
        <v>0</v>
      </c>
      <c r="G199" s="118" t="n">
        <f aca="false">VLOOKUP($A199,Table,MATCH(G$4,Curves,0))</f>
        <v>3</v>
      </c>
      <c r="H199" s="119" t="n">
        <f aca="false">G199+$H$7</f>
        <v>3</v>
      </c>
      <c r="I199" s="118" t="n">
        <f aca="false">'Inputs-Summary'!$B$16</f>
        <v>1.85</v>
      </c>
      <c r="J199" s="118" t="n">
        <f aca="false">VLOOKUP($A199,Table,MATCH(J$4,Curves,0))</f>
        <v>5</v>
      </c>
      <c r="K199" s="119" t="n">
        <f aca="false">J199+$K$7</f>
        <v>5</v>
      </c>
      <c r="L199" s="120" t="n">
        <f aca="false">K199</f>
        <v>5</v>
      </c>
      <c r="M199" s="118" t="n">
        <f aca="false">VLOOKUP($A199,Table,MATCH(M$4,Curves,0))</f>
        <v>5</v>
      </c>
      <c r="N199" s="119" t="n">
        <f aca="false">M199+$N$7</f>
        <v>5</v>
      </c>
      <c r="O199" s="120" t="n">
        <f aca="false">N199</f>
        <v>5</v>
      </c>
      <c r="P199" s="109"/>
      <c r="Q199" s="120" t="n">
        <f aca="false">IF($F$3=1,M199+J199+G199,J199+G199)</f>
        <v>8</v>
      </c>
      <c r="R199" s="120" t="n">
        <f aca="false">IF($F$3=1,N199+K199+H199,K199+H199)</f>
        <v>8</v>
      </c>
      <c r="S199" s="120" t="n">
        <f aca="false">IF($F$3=1,O199+L199+I199,L199+I199)</f>
        <v>6.85</v>
      </c>
      <c r="T199" s="121"/>
      <c r="U199" s="67" t="n">
        <f aca="false">A200-A199</f>
        <v>31</v>
      </c>
      <c r="V199" s="122" t="n">
        <f aca="false">CHOOSE(F$3,A200+24,A199)</f>
        <v>43009</v>
      </c>
      <c r="W199" s="67" t="n">
        <f aca="false">V199-C$3</f>
        <v>-2917</v>
      </c>
      <c r="X199" s="118" t="n">
        <f aca="false">VLOOKUP($A199,Table,MATCH(X$4,Curves,0))</f>
        <v>2</v>
      </c>
      <c r="Y199" s="123" t="n">
        <f aca="false">1/(1+CHOOSE(F$3,(X200+($K$3/10000))/2,(X199+($K$3/10000))/2))^(2*W199/365.25)</f>
        <v>64304.0280835691</v>
      </c>
      <c r="Z199" s="67" t="n">
        <f aca="false">IF(AND(mthbeg&lt;=A199,mthend&gt;=A199),1,0)</f>
        <v>0</v>
      </c>
      <c r="AA199" s="67" t="n">
        <f aca="false">U199*Z199</f>
        <v>0</v>
      </c>
      <c r="AC199" s="110" t="n">
        <f aca="false">F199*(H199-I199)</f>
        <v>0</v>
      </c>
      <c r="AD199" s="49"/>
      <c r="AE199" s="124"/>
    </row>
    <row r="200" customFormat="false" ht="12" hidden="false" customHeight="true" outlineLevel="0" collapsed="false">
      <c r="A200" s="115" t="n">
        <f aca="false">EDATE(A199,1)</f>
        <v>43040</v>
      </c>
      <c r="B200" s="116" t="n">
        <f aca="false">'Inputs-Summary'!$B$7</f>
        <v>3017157.21662952</v>
      </c>
      <c r="C200" s="57"/>
      <c r="D200" s="117" t="n">
        <f aca="false">B200+C200</f>
        <v>3017157.21662952</v>
      </c>
      <c r="E200" s="106" t="n">
        <f aca="false">IF(Z200=0,0,IF(AND(Z200=1,$H$3=1),D200*U200,IF($H$3=2,D200,"N/A")))</f>
        <v>0</v>
      </c>
      <c r="F200" s="106" t="n">
        <f aca="false">E200*Y200</f>
        <v>0</v>
      </c>
      <c r="G200" s="118" t="n">
        <f aca="false">VLOOKUP($A200,Table,MATCH(G$4,Curves,0))</f>
        <v>3</v>
      </c>
      <c r="H200" s="119" t="n">
        <f aca="false">G200+$H$7</f>
        <v>3</v>
      </c>
      <c r="I200" s="118" t="n">
        <f aca="false">'Inputs-Summary'!$B$16</f>
        <v>1.85</v>
      </c>
      <c r="J200" s="118" t="n">
        <f aca="false">VLOOKUP($A200,Table,MATCH(J$4,Curves,0))</f>
        <v>5</v>
      </c>
      <c r="K200" s="119" t="n">
        <f aca="false">J200+$K$7</f>
        <v>5</v>
      </c>
      <c r="L200" s="120" t="n">
        <f aca="false">K200</f>
        <v>5</v>
      </c>
      <c r="M200" s="118" t="n">
        <f aca="false">VLOOKUP($A200,Table,MATCH(M$4,Curves,0))</f>
        <v>5</v>
      </c>
      <c r="N200" s="119" t="n">
        <f aca="false">M200+$N$7</f>
        <v>5</v>
      </c>
      <c r="O200" s="120" t="n">
        <f aca="false">N200</f>
        <v>5</v>
      </c>
      <c r="P200" s="109"/>
      <c r="Q200" s="120" t="n">
        <f aca="false">IF($F$3=1,M200+J200+G200,J200+G200)</f>
        <v>8</v>
      </c>
      <c r="R200" s="120" t="n">
        <f aca="false">IF($F$3=1,N200+K200+H200,K200+H200)</f>
        <v>8</v>
      </c>
      <c r="S200" s="120" t="n">
        <f aca="false">IF($F$3=1,O200+L200+I200,L200+I200)</f>
        <v>6.85</v>
      </c>
      <c r="T200" s="121"/>
      <c r="U200" s="67" t="n">
        <f aca="false">A201-A200</f>
        <v>30</v>
      </c>
      <c r="V200" s="122" t="n">
        <f aca="false">CHOOSE(F$3,A201+24,A200)</f>
        <v>43040</v>
      </c>
      <c r="W200" s="67" t="n">
        <f aca="false">V200-C$3</f>
        <v>-2886</v>
      </c>
      <c r="X200" s="118" t="n">
        <f aca="false">VLOOKUP($A200,Table,MATCH(X$4,Curves,0))</f>
        <v>2</v>
      </c>
      <c r="Y200" s="123" t="n">
        <f aca="false">1/(1+CHOOSE(F$3,(X201+($K$3/10000))/2,(X200+($K$3/10000))/2))^(2*W200/365.25)</f>
        <v>57166.1988256536</v>
      </c>
      <c r="Z200" s="67" t="n">
        <f aca="false">IF(AND(mthbeg&lt;=A200,mthend&gt;=A200),1,0)</f>
        <v>0</v>
      </c>
      <c r="AA200" s="67" t="n">
        <f aca="false">U200*Z200</f>
        <v>0</v>
      </c>
      <c r="AC200" s="110" t="n">
        <f aca="false">F200*(H200-I200)</f>
        <v>0</v>
      </c>
      <c r="AD200" s="49"/>
      <c r="AE200" s="124"/>
    </row>
    <row r="201" customFormat="false" ht="12" hidden="false" customHeight="true" outlineLevel="0" collapsed="false">
      <c r="A201" s="115" t="n">
        <f aca="false">EDATE(A200,1)</f>
        <v>43070</v>
      </c>
      <c r="B201" s="116" t="n">
        <f aca="false">'Inputs-Summary'!$B$7</f>
        <v>3017157.21662952</v>
      </c>
      <c r="C201" s="57"/>
      <c r="D201" s="117" t="n">
        <f aca="false">B201+C201</f>
        <v>3017157.21662952</v>
      </c>
      <c r="E201" s="106" t="n">
        <f aca="false">IF(Z201=0,0,IF(AND(Z201=1,$H$3=1),D201*U201,IF($H$3=2,D201,"N/A")))</f>
        <v>0</v>
      </c>
      <c r="F201" s="106" t="n">
        <f aca="false">E201*Y201</f>
        <v>0</v>
      </c>
      <c r="G201" s="118" t="n">
        <f aca="false">VLOOKUP($A201,Table,MATCH(G$4,Curves,0))</f>
        <v>3</v>
      </c>
      <c r="H201" s="119" t="n">
        <f aca="false">G201+$H$7</f>
        <v>3</v>
      </c>
      <c r="I201" s="118" t="n">
        <f aca="false">'Inputs-Summary'!$B$16</f>
        <v>1.85</v>
      </c>
      <c r="J201" s="118" t="n">
        <f aca="false">VLOOKUP($A201,Table,MATCH(J$4,Curves,0))</f>
        <v>5</v>
      </c>
      <c r="K201" s="119" t="n">
        <f aca="false">J201+$K$7</f>
        <v>5</v>
      </c>
      <c r="L201" s="120" t="n">
        <f aca="false">K201</f>
        <v>5</v>
      </c>
      <c r="M201" s="118" t="n">
        <f aca="false">VLOOKUP($A201,Table,MATCH(M$4,Curves,0))</f>
        <v>5</v>
      </c>
      <c r="N201" s="119" t="n">
        <f aca="false">M201+$N$7</f>
        <v>5</v>
      </c>
      <c r="O201" s="120" t="n">
        <f aca="false">N201</f>
        <v>5</v>
      </c>
      <c r="P201" s="109"/>
      <c r="Q201" s="120" t="n">
        <f aca="false">IF($F$3=1,M201+J201+G201,J201+G201)</f>
        <v>8</v>
      </c>
      <c r="R201" s="120" t="n">
        <f aca="false">IF($F$3=1,N201+K201+H201,K201+H201)</f>
        <v>8</v>
      </c>
      <c r="S201" s="120" t="n">
        <f aca="false">IF($F$3=1,O201+L201+I201,L201+I201)</f>
        <v>6.85</v>
      </c>
      <c r="T201" s="121"/>
      <c r="U201" s="67" t="n">
        <f aca="false">A202-A201</f>
        <v>31</v>
      </c>
      <c r="V201" s="122" t="n">
        <f aca="false">CHOOSE(F$3,A202+24,A201)</f>
        <v>43070</v>
      </c>
      <c r="W201" s="67" t="n">
        <f aca="false">V201-C$3</f>
        <v>-2856</v>
      </c>
      <c r="X201" s="118" t="n">
        <f aca="false">VLOOKUP($A201,Table,MATCH(X$4,Curves,0))</f>
        <v>2</v>
      </c>
      <c r="Y201" s="123" t="n">
        <f aca="false">1/(1+CHOOSE(F$3,(X202+($K$3/10000))/2,(X201+($K$3/10000))/2))^(2*W201/365.25)</f>
        <v>51013.9324577942</v>
      </c>
      <c r="Z201" s="67" t="n">
        <f aca="false">IF(AND(mthbeg&lt;=A201,mthend&gt;=A201),1,0)</f>
        <v>0</v>
      </c>
      <c r="AA201" s="67" t="n">
        <f aca="false">U201*Z201</f>
        <v>0</v>
      </c>
      <c r="AC201" s="110" t="n">
        <f aca="false">F201*(H201-I201)</f>
        <v>0</v>
      </c>
      <c r="AD201" s="49"/>
      <c r="AE201" s="124"/>
    </row>
    <row r="202" customFormat="false" ht="12" hidden="false" customHeight="true" outlineLevel="0" collapsed="false">
      <c r="A202" s="115" t="n">
        <f aca="false">EDATE(A201,1)</f>
        <v>43101</v>
      </c>
      <c r="B202" s="116" t="n">
        <f aca="false">'Inputs-Summary'!$B$7</f>
        <v>3017157.21662952</v>
      </c>
      <c r="C202" s="57"/>
      <c r="D202" s="117" t="n">
        <f aca="false">B202+C202</f>
        <v>3017157.21662952</v>
      </c>
      <c r="E202" s="106" t="n">
        <f aca="false">IF(Z202=0,0,IF(AND(Z202=1,$H$3=1),D202*U202,IF($H$3=2,D202,"N/A")))</f>
        <v>0</v>
      </c>
      <c r="F202" s="106" t="n">
        <f aca="false">E202*Y202</f>
        <v>0</v>
      </c>
      <c r="G202" s="118" t="n">
        <f aca="false">VLOOKUP($A202,Table,MATCH(G$4,Curves,0))</f>
        <v>3</v>
      </c>
      <c r="H202" s="119" t="n">
        <f aca="false">G202+$H$7</f>
        <v>3</v>
      </c>
      <c r="I202" s="118" t="n">
        <f aca="false">'Inputs-Summary'!$B$16</f>
        <v>1.85</v>
      </c>
      <c r="J202" s="118" t="n">
        <f aca="false">VLOOKUP($A202,Table,MATCH(J$4,Curves,0))</f>
        <v>5</v>
      </c>
      <c r="K202" s="119" t="n">
        <f aca="false">J202+$K$7</f>
        <v>5</v>
      </c>
      <c r="L202" s="120" t="n">
        <f aca="false">K202</f>
        <v>5</v>
      </c>
      <c r="M202" s="118" t="n">
        <f aca="false">VLOOKUP($A202,Table,MATCH(M$4,Curves,0))</f>
        <v>5</v>
      </c>
      <c r="N202" s="119" t="n">
        <f aca="false">M202+$N$7</f>
        <v>5</v>
      </c>
      <c r="O202" s="120" t="n">
        <f aca="false">N202</f>
        <v>5</v>
      </c>
      <c r="P202" s="109"/>
      <c r="Q202" s="120" t="n">
        <f aca="false">IF($F$3=1,M202+J202+G202,J202+G202)</f>
        <v>8</v>
      </c>
      <c r="R202" s="120" t="n">
        <f aca="false">IF($F$3=1,N202+K202+H202,K202+H202)</f>
        <v>8</v>
      </c>
      <c r="S202" s="120" t="n">
        <f aca="false">IF($F$3=1,O202+L202+I202,L202+I202)</f>
        <v>6.85</v>
      </c>
      <c r="T202" s="121"/>
      <c r="U202" s="67" t="n">
        <f aca="false">A203-A202</f>
        <v>31</v>
      </c>
      <c r="V202" s="122" t="n">
        <f aca="false">CHOOSE(F$3,A203+24,A202)</f>
        <v>43101</v>
      </c>
      <c r="W202" s="67" t="n">
        <f aca="false">V202-C$3</f>
        <v>-2825</v>
      </c>
      <c r="X202" s="118" t="n">
        <f aca="false">VLOOKUP($A202,Table,MATCH(X$4,Curves,0))</f>
        <v>2</v>
      </c>
      <c r="Y202" s="123" t="n">
        <f aca="false">1/(1+CHOOSE(F$3,(X203+($K$3/10000))/2,(X202+($K$3/10000))/2))^(2*W202/365.25)</f>
        <v>45351.3207908337</v>
      </c>
      <c r="Z202" s="67" t="n">
        <f aca="false">IF(AND(mthbeg&lt;=A202,mthend&gt;=A202),1,0)</f>
        <v>0</v>
      </c>
      <c r="AA202" s="67" t="n">
        <f aca="false">U202*Z202</f>
        <v>0</v>
      </c>
      <c r="AC202" s="110" t="n">
        <f aca="false">F202*(H202-I202)</f>
        <v>0</v>
      </c>
      <c r="AD202" s="49"/>
      <c r="AE202" s="124"/>
    </row>
    <row r="203" customFormat="false" ht="12" hidden="false" customHeight="true" outlineLevel="0" collapsed="false">
      <c r="A203" s="115" t="n">
        <f aca="false">EDATE(A202,1)</f>
        <v>43132</v>
      </c>
      <c r="B203" s="116" t="n">
        <f aca="false">'Inputs-Summary'!$B$7</f>
        <v>3017157.21662952</v>
      </c>
      <c r="C203" s="57"/>
      <c r="D203" s="117" t="n">
        <f aca="false">B203+C203</f>
        <v>3017157.21662952</v>
      </c>
      <c r="E203" s="106" t="n">
        <f aca="false">IF(Z203=0,0,IF(AND(Z203=1,$H$3=1),D203*U203,IF($H$3=2,D203,"N/A")))</f>
        <v>0</v>
      </c>
      <c r="F203" s="106" t="n">
        <f aca="false">E203*Y203</f>
        <v>0</v>
      </c>
      <c r="G203" s="118" t="n">
        <f aca="false">VLOOKUP($A203,Table,MATCH(G$4,Curves,0))</f>
        <v>3</v>
      </c>
      <c r="H203" s="119" t="n">
        <f aca="false">G203+$H$7</f>
        <v>3</v>
      </c>
      <c r="I203" s="118" t="n">
        <f aca="false">'Inputs-Summary'!$B$16</f>
        <v>1.85</v>
      </c>
      <c r="J203" s="118" t="n">
        <f aca="false">VLOOKUP($A203,Table,MATCH(J$4,Curves,0))</f>
        <v>5</v>
      </c>
      <c r="K203" s="119" t="n">
        <f aca="false">J203+$K$7</f>
        <v>5</v>
      </c>
      <c r="L203" s="120" t="n">
        <f aca="false">K203</f>
        <v>5</v>
      </c>
      <c r="M203" s="118" t="n">
        <f aca="false">VLOOKUP($A203,Table,MATCH(M$4,Curves,0))</f>
        <v>5</v>
      </c>
      <c r="N203" s="119" t="n">
        <f aca="false">M203+$N$7</f>
        <v>5</v>
      </c>
      <c r="O203" s="120" t="n">
        <f aca="false">N203</f>
        <v>5</v>
      </c>
      <c r="P203" s="109"/>
      <c r="Q203" s="120" t="n">
        <f aca="false">IF($F$3=1,M203+J203+G203,J203+G203)</f>
        <v>8</v>
      </c>
      <c r="R203" s="120" t="n">
        <f aca="false">IF($F$3=1,N203+K203+H203,K203+H203)</f>
        <v>8</v>
      </c>
      <c r="S203" s="120" t="n">
        <f aca="false">IF($F$3=1,O203+L203+I203,L203+I203)</f>
        <v>6.85</v>
      </c>
      <c r="T203" s="121"/>
      <c r="U203" s="67" t="n">
        <f aca="false">A204-A203</f>
        <v>28</v>
      </c>
      <c r="V203" s="122" t="n">
        <f aca="false">CHOOSE(F$3,A204+24,A203)</f>
        <v>43132</v>
      </c>
      <c r="W203" s="67" t="n">
        <f aca="false">V203-C$3</f>
        <v>-2794</v>
      </c>
      <c r="X203" s="118" t="n">
        <f aca="false">VLOOKUP($A203,Table,MATCH(X$4,Curves,0))</f>
        <v>2</v>
      </c>
      <c r="Y203" s="123" t="n">
        <f aca="false">1/(1+CHOOSE(F$3,(X204+($K$3/10000))/2,(X203+($K$3/10000))/2))^(2*W203/365.25)</f>
        <v>40317.2662522093</v>
      </c>
      <c r="Z203" s="67" t="n">
        <f aca="false">IF(AND(mthbeg&lt;=A203,mthend&gt;=A203),1,0)</f>
        <v>0</v>
      </c>
      <c r="AA203" s="67" t="n">
        <f aca="false">U203*Z203</f>
        <v>0</v>
      </c>
      <c r="AC203" s="110" t="n">
        <f aca="false">F203*(H203-I203)</f>
        <v>0</v>
      </c>
      <c r="AD203" s="49"/>
      <c r="AE203" s="124"/>
    </row>
    <row r="204" customFormat="false" ht="12" hidden="false" customHeight="true" outlineLevel="0" collapsed="false">
      <c r="A204" s="115" t="n">
        <f aca="false">EDATE(A203,1)</f>
        <v>43160</v>
      </c>
      <c r="B204" s="116" t="n">
        <f aca="false">'Inputs-Summary'!$B$7</f>
        <v>3017157.21662952</v>
      </c>
      <c r="C204" s="57"/>
      <c r="D204" s="117" t="n">
        <f aca="false">B204+C204</f>
        <v>3017157.21662952</v>
      </c>
      <c r="E204" s="106" t="n">
        <f aca="false">IF(Z204=0,0,IF(AND(Z204=1,$H$3=1),D204*U204,IF($H$3=2,D204,"N/A")))</f>
        <v>0</v>
      </c>
      <c r="F204" s="106" t="n">
        <f aca="false">E204*Y204</f>
        <v>0</v>
      </c>
      <c r="G204" s="118" t="n">
        <f aca="false">VLOOKUP($A204,Table,MATCH(G$4,Curves,0))</f>
        <v>3</v>
      </c>
      <c r="H204" s="119" t="n">
        <f aca="false">G204+$H$7</f>
        <v>3</v>
      </c>
      <c r="I204" s="118" t="n">
        <f aca="false">'Inputs-Summary'!$B$16</f>
        <v>1.85</v>
      </c>
      <c r="J204" s="118" t="n">
        <f aca="false">VLOOKUP($A204,Table,MATCH(J$4,Curves,0))</f>
        <v>5</v>
      </c>
      <c r="K204" s="119" t="n">
        <f aca="false">J204+$K$7</f>
        <v>5</v>
      </c>
      <c r="L204" s="120" t="n">
        <f aca="false">K204</f>
        <v>5</v>
      </c>
      <c r="M204" s="118" t="n">
        <f aca="false">VLOOKUP($A204,Table,MATCH(M$4,Curves,0))</f>
        <v>5</v>
      </c>
      <c r="N204" s="119" t="n">
        <f aca="false">M204+$N$7</f>
        <v>5</v>
      </c>
      <c r="O204" s="120" t="n">
        <f aca="false">N204</f>
        <v>5</v>
      </c>
      <c r="P204" s="109"/>
      <c r="Q204" s="120" t="n">
        <f aca="false">IF($F$3=1,M204+J204+G204,J204+G204)</f>
        <v>8</v>
      </c>
      <c r="R204" s="120" t="n">
        <f aca="false">IF($F$3=1,N204+K204+H204,K204+H204)</f>
        <v>8</v>
      </c>
      <c r="S204" s="120" t="n">
        <f aca="false">IF($F$3=1,O204+L204+I204,L204+I204)</f>
        <v>6.85</v>
      </c>
      <c r="T204" s="121"/>
      <c r="U204" s="67" t="n">
        <f aca="false">A205-A204</f>
        <v>31</v>
      </c>
      <c r="V204" s="122" t="n">
        <f aca="false">CHOOSE(F$3,A205+24,A204)</f>
        <v>43160</v>
      </c>
      <c r="W204" s="67" t="n">
        <f aca="false">V204-C$3</f>
        <v>-2766</v>
      </c>
      <c r="X204" s="118" t="n">
        <f aca="false">VLOOKUP($A204,Table,MATCH(X$4,Curves,0))</f>
        <v>2</v>
      </c>
      <c r="Y204" s="123" t="n">
        <f aca="false">1/(1+CHOOSE(F$3,(X205+($K$3/10000))/2,(X204+($K$3/10000))/2))^(2*W204/365.25)</f>
        <v>36252.4418772112</v>
      </c>
      <c r="Z204" s="67" t="n">
        <f aca="false">IF(AND(mthbeg&lt;=A204,mthend&gt;=A204),1,0)</f>
        <v>0</v>
      </c>
      <c r="AA204" s="67" t="n">
        <f aca="false">U204*Z204</f>
        <v>0</v>
      </c>
      <c r="AC204" s="110" t="n">
        <f aca="false">F204*(H204-I204)</f>
        <v>0</v>
      </c>
      <c r="AD204" s="49"/>
      <c r="AE204" s="124"/>
    </row>
    <row r="205" customFormat="false" ht="12" hidden="false" customHeight="true" outlineLevel="0" collapsed="false">
      <c r="A205" s="115" t="n">
        <f aca="false">EDATE(A204,1)</f>
        <v>43191</v>
      </c>
      <c r="B205" s="116" t="n">
        <f aca="false">'Inputs-Summary'!$B$7</f>
        <v>3017157.21662952</v>
      </c>
      <c r="C205" s="57"/>
      <c r="D205" s="117" t="n">
        <f aca="false">B205+C205</f>
        <v>3017157.21662952</v>
      </c>
      <c r="E205" s="106" t="n">
        <f aca="false">IF(Z205=0,0,IF(AND(Z205=1,$H$3=1),D205*U205,IF($H$3=2,D205,"N/A")))</f>
        <v>0</v>
      </c>
      <c r="F205" s="106" t="n">
        <f aca="false">E205*Y205</f>
        <v>0</v>
      </c>
      <c r="G205" s="118" t="n">
        <f aca="false">VLOOKUP($A205,Table,MATCH(G$4,Curves,0))</f>
        <v>3</v>
      </c>
      <c r="H205" s="119" t="n">
        <f aca="false">G205+$H$7</f>
        <v>3</v>
      </c>
      <c r="I205" s="118" t="n">
        <f aca="false">'Inputs-Summary'!$B$16</f>
        <v>1.85</v>
      </c>
      <c r="J205" s="118" t="n">
        <f aca="false">VLOOKUP($A205,Table,MATCH(J$4,Curves,0))</f>
        <v>5</v>
      </c>
      <c r="K205" s="119" t="n">
        <f aca="false">J205+$K$7</f>
        <v>5</v>
      </c>
      <c r="L205" s="120" t="n">
        <f aca="false">K205</f>
        <v>5</v>
      </c>
      <c r="M205" s="118" t="n">
        <f aca="false">VLOOKUP($A205,Table,MATCH(M$4,Curves,0))</f>
        <v>5</v>
      </c>
      <c r="N205" s="119" t="n">
        <f aca="false">M205+$N$7</f>
        <v>5</v>
      </c>
      <c r="O205" s="120" t="n">
        <f aca="false">N205</f>
        <v>5</v>
      </c>
      <c r="P205" s="109"/>
      <c r="Q205" s="120" t="n">
        <f aca="false">IF($F$3=1,M205+J205+G205,J205+G205)</f>
        <v>8</v>
      </c>
      <c r="R205" s="120" t="n">
        <f aca="false">IF($F$3=1,N205+K205+H205,K205+H205)</f>
        <v>8</v>
      </c>
      <c r="S205" s="120" t="n">
        <f aca="false">IF($F$3=1,O205+L205+I205,L205+I205)</f>
        <v>6.85</v>
      </c>
      <c r="T205" s="121"/>
      <c r="U205" s="67" t="n">
        <f aca="false">A206-A205</f>
        <v>30</v>
      </c>
      <c r="V205" s="122" t="n">
        <f aca="false">CHOOSE(F$3,A206+24,A205)</f>
        <v>43191</v>
      </c>
      <c r="W205" s="67" t="n">
        <f aca="false">V205-C$3</f>
        <v>-2735</v>
      </c>
      <c r="X205" s="118" t="n">
        <f aca="false">VLOOKUP($A205,Table,MATCH(X$4,Curves,0))</f>
        <v>2</v>
      </c>
      <c r="Y205" s="123" t="n">
        <f aca="false">1/(1+CHOOSE(F$3,(X206+($K$3/10000))/2,(X205+($K$3/10000))/2))^(2*W205/365.25)</f>
        <v>32228.3745207191</v>
      </c>
      <c r="Z205" s="67" t="n">
        <f aca="false">IF(AND(mthbeg&lt;=A205,mthend&gt;=A205),1,0)</f>
        <v>0</v>
      </c>
      <c r="AA205" s="67" t="n">
        <f aca="false">U205*Z205</f>
        <v>0</v>
      </c>
      <c r="AC205" s="110" t="n">
        <f aca="false">F205*(H205-I205)</f>
        <v>0</v>
      </c>
      <c r="AD205" s="49"/>
      <c r="AE205" s="124"/>
    </row>
    <row r="206" customFormat="false" ht="12" hidden="false" customHeight="true" outlineLevel="0" collapsed="false">
      <c r="A206" s="115" t="n">
        <f aca="false">EDATE(A205,1)</f>
        <v>43221</v>
      </c>
      <c r="B206" s="116" t="n">
        <f aca="false">'Inputs-Summary'!$B$7</f>
        <v>3017157.21662952</v>
      </c>
      <c r="C206" s="57"/>
      <c r="D206" s="117" t="n">
        <f aca="false">B206+C206</f>
        <v>3017157.21662952</v>
      </c>
      <c r="E206" s="106" t="n">
        <f aca="false">IF(Z206=0,0,IF(AND(Z206=1,$H$3=1),D206*U206,IF($H$3=2,D206,"N/A")))</f>
        <v>0</v>
      </c>
      <c r="F206" s="106" t="n">
        <f aca="false">E206*Y206</f>
        <v>0</v>
      </c>
      <c r="G206" s="118" t="n">
        <f aca="false">VLOOKUP($A206,Table,MATCH(G$4,Curves,0))</f>
        <v>3</v>
      </c>
      <c r="H206" s="119" t="n">
        <f aca="false">G206+$H$7</f>
        <v>3</v>
      </c>
      <c r="I206" s="118" t="n">
        <f aca="false">'Inputs-Summary'!$B$16</f>
        <v>1.85</v>
      </c>
      <c r="J206" s="118" t="n">
        <f aca="false">VLOOKUP($A206,Table,MATCH(J$4,Curves,0))</f>
        <v>5</v>
      </c>
      <c r="K206" s="119" t="n">
        <f aca="false">J206+$K$7</f>
        <v>5</v>
      </c>
      <c r="L206" s="120" t="n">
        <f aca="false">K206</f>
        <v>5</v>
      </c>
      <c r="M206" s="118" t="n">
        <f aca="false">VLOOKUP($A206,Table,MATCH(M$4,Curves,0))</f>
        <v>5</v>
      </c>
      <c r="N206" s="119" t="n">
        <f aca="false">M206+$N$7</f>
        <v>5</v>
      </c>
      <c r="O206" s="120" t="n">
        <f aca="false">N206</f>
        <v>5</v>
      </c>
      <c r="P206" s="109"/>
      <c r="Q206" s="120" t="n">
        <f aca="false">IF($F$3=1,M206+J206+G206,J206+G206)</f>
        <v>8</v>
      </c>
      <c r="R206" s="120" t="n">
        <f aca="false">IF($F$3=1,N206+K206+H206,K206+H206)</f>
        <v>8</v>
      </c>
      <c r="S206" s="120" t="n">
        <f aca="false">IF($F$3=1,O206+L206+I206,L206+I206)</f>
        <v>6.85</v>
      </c>
      <c r="T206" s="121"/>
      <c r="U206" s="67" t="n">
        <f aca="false">A207-A206</f>
        <v>31</v>
      </c>
      <c r="V206" s="122" t="n">
        <f aca="false">CHOOSE(F$3,A207+24,A206)</f>
        <v>43221</v>
      </c>
      <c r="W206" s="67" t="n">
        <f aca="false">V206-C$3</f>
        <v>-2705</v>
      </c>
      <c r="X206" s="118" t="n">
        <f aca="false">VLOOKUP($A206,Table,MATCH(X$4,Curves,0))</f>
        <v>2</v>
      </c>
      <c r="Y206" s="123" t="n">
        <f aca="false">1/(1+CHOOSE(F$3,(X207+($K$3/10000))/2,(X206+($K$3/10000))/2))^(2*W206/365.25)</f>
        <v>28759.9342758236</v>
      </c>
      <c r="Z206" s="67" t="n">
        <f aca="false">IF(AND(mthbeg&lt;=A206,mthend&gt;=A206),1,0)</f>
        <v>0</v>
      </c>
      <c r="AA206" s="67" t="n">
        <f aca="false">U206*Z206</f>
        <v>0</v>
      </c>
      <c r="AC206" s="110" t="n">
        <f aca="false">F206*(H206-I206)</f>
        <v>0</v>
      </c>
      <c r="AD206" s="49"/>
      <c r="AE206" s="124"/>
    </row>
    <row r="207" customFormat="false" ht="12" hidden="false" customHeight="true" outlineLevel="0" collapsed="false">
      <c r="A207" s="115" t="n">
        <f aca="false">EDATE(A206,1)</f>
        <v>43252</v>
      </c>
      <c r="B207" s="116" t="n">
        <f aca="false">'Inputs-Summary'!$B$7</f>
        <v>3017157.21662952</v>
      </c>
      <c r="C207" s="57"/>
      <c r="D207" s="117" t="n">
        <f aca="false">B207+C207</f>
        <v>3017157.21662952</v>
      </c>
      <c r="E207" s="106" t="n">
        <f aca="false">IF(Z207=0,0,IF(AND(Z207=1,$H$3=1),D207*U207,IF($H$3=2,D207,"N/A")))</f>
        <v>0</v>
      </c>
      <c r="F207" s="106" t="n">
        <f aca="false">E207*Y207</f>
        <v>0</v>
      </c>
      <c r="G207" s="118" t="n">
        <f aca="false">VLOOKUP($A207,Table,MATCH(G$4,Curves,0))</f>
        <v>3</v>
      </c>
      <c r="H207" s="119" t="n">
        <f aca="false">G207+$H$7</f>
        <v>3</v>
      </c>
      <c r="I207" s="118" t="n">
        <f aca="false">'Inputs-Summary'!$B$16</f>
        <v>1.85</v>
      </c>
      <c r="J207" s="118" t="n">
        <f aca="false">VLOOKUP($A207,Table,MATCH(J$4,Curves,0))</f>
        <v>5</v>
      </c>
      <c r="K207" s="119" t="n">
        <f aca="false">J207+$K$7</f>
        <v>5</v>
      </c>
      <c r="L207" s="120" t="n">
        <f aca="false">K207</f>
        <v>5</v>
      </c>
      <c r="M207" s="118" t="n">
        <f aca="false">VLOOKUP($A207,Table,MATCH(M$4,Curves,0))</f>
        <v>5</v>
      </c>
      <c r="N207" s="119" t="n">
        <f aca="false">M207+$N$7</f>
        <v>5</v>
      </c>
      <c r="O207" s="120" t="n">
        <f aca="false">N207</f>
        <v>5</v>
      </c>
      <c r="P207" s="109"/>
      <c r="Q207" s="120" t="n">
        <f aca="false">IF($F$3=1,M207+J207+G207,J207+G207)</f>
        <v>8</v>
      </c>
      <c r="R207" s="120" t="n">
        <f aca="false">IF($F$3=1,N207+K207+H207,K207+H207)</f>
        <v>8</v>
      </c>
      <c r="S207" s="120" t="n">
        <f aca="false">IF($F$3=1,O207+L207+I207,L207+I207)</f>
        <v>6.85</v>
      </c>
      <c r="T207" s="121"/>
      <c r="U207" s="67" t="n">
        <f aca="false">A208-A207</f>
        <v>30</v>
      </c>
      <c r="V207" s="122" t="n">
        <f aca="false">CHOOSE(F$3,A208+24,A207)</f>
        <v>43252</v>
      </c>
      <c r="W207" s="67" t="n">
        <f aca="false">V207-C$3</f>
        <v>-2674</v>
      </c>
      <c r="X207" s="118" t="n">
        <f aca="false">VLOOKUP($A207,Table,MATCH(X$4,Curves,0))</f>
        <v>2</v>
      </c>
      <c r="Y207" s="123" t="n">
        <f aca="false">1/(1+CHOOSE(F$3,(X208+($K$3/10000))/2,(X207+($K$3/10000))/2))^(2*W207/365.25)</f>
        <v>25567.5448338603</v>
      </c>
      <c r="Z207" s="67" t="n">
        <f aca="false">IF(AND(mthbeg&lt;=A207,mthend&gt;=A207),1,0)</f>
        <v>0</v>
      </c>
      <c r="AA207" s="67" t="n">
        <f aca="false">U207*Z207</f>
        <v>0</v>
      </c>
      <c r="AC207" s="110" t="n">
        <f aca="false">F207*(H207-I207)</f>
        <v>0</v>
      </c>
      <c r="AD207" s="49"/>
      <c r="AE207" s="124"/>
    </row>
    <row r="208" customFormat="false" ht="12" hidden="false" customHeight="true" outlineLevel="0" collapsed="false">
      <c r="A208" s="115" t="n">
        <f aca="false">EDATE(A207,1)</f>
        <v>43282</v>
      </c>
      <c r="B208" s="116" t="n">
        <f aca="false">'Inputs-Summary'!$B$7</f>
        <v>3017157.21662952</v>
      </c>
      <c r="C208" s="57"/>
      <c r="D208" s="117" t="n">
        <f aca="false">B208+C208</f>
        <v>3017157.21662952</v>
      </c>
      <c r="E208" s="106" t="n">
        <f aca="false">IF(Z208=0,0,IF(AND(Z208=1,$H$3=1),D208*U208,IF($H$3=2,D208,"N/A")))</f>
        <v>0</v>
      </c>
      <c r="F208" s="106" t="n">
        <f aca="false">E208*Y208</f>
        <v>0</v>
      </c>
      <c r="G208" s="118" t="n">
        <f aca="false">VLOOKUP($A208,Table,MATCH(G$4,Curves,0))</f>
        <v>3</v>
      </c>
      <c r="H208" s="119" t="n">
        <f aca="false">G208+$H$7</f>
        <v>3</v>
      </c>
      <c r="I208" s="118" t="n">
        <f aca="false">'Inputs-Summary'!$B$16</f>
        <v>1.85</v>
      </c>
      <c r="J208" s="118" t="n">
        <f aca="false">VLOOKUP($A208,Table,MATCH(J$4,Curves,0))</f>
        <v>5</v>
      </c>
      <c r="K208" s="119" t="n">
        <f aca="false">J208+$K$7</f>
        <v>5</v>
      </c>
      <c r="L208" s="120" t="n">
        <f aca="false">K208</f>
        <v>5</v>
      </c>
      <c r="M208" s="118" t="n">
        <f aca="false">VLOOKUP($A208,Table,MATCH(M$4,Curves,0))</f>
        <v>5</v>
      </c>
      <c r="N208" s="119" t="n">
        <f aca="false">M208+$N$7</f>
        <v>5</v>
      </c>
      <c r="O208" s="120" t="n">
        <f aca="false">N208</f>
        <v>5</v>
      </c>
      <c r="P208" s="109"/>
      <c r="Q208" s="120" t="n">
        <f aca="false">IF($F$3=1,M208+J208+G208,J208+G208)</f>
        <v>8</v>
      </c>
      <c r="R208" s="120" t="n">
        <f aca="false">IF($F$3=1,N208+K208+H208,K208+H208)</f>
        <v>8</v>
      </c>
      <c r="S208" s="120" t="n">
        <f aca="false">IF($F$3=1,O208+L208+I208,L208+I208)</f>
        <v>6.85</v>
      </c>
      <c r="T208" s="121"/>
      <c r="U208" s="67" t="n">
        <f aca="false">A209-A208</f>
        <v>31</v>
      </c>
      <c r="V208" s="122" t="n">
        <f aca="false">CHOOSE(F$3,A209+24,A208)</f>
        <v>43282</v>
      </c>
      <c r="W208" s="67" t="n">
        <f aca="false">V208-C$3</f>
        <v>-2644</v>
      </c>
      <c r="X208" s="118" t="n">
        <f aca="false">VLOOKUP($A208,Table,MATCH(X$4,Curves,0))</f>
        <v>2</v>
      </c>
      <c r="Y208" s="123" t="n">
        <f aca="false">1/(1+CHOOSE(F$3,(X209+($K$3/10000))/2,(X208+($K$3/10000))/2))^(2*W208/365.25)</f>
        <v>22815.9477463956</v>
      </c>
      <c r="Z208" s="67" t="n">
        <f aca="false">IF(AND(mthbeg&lt;=A208,mthend&gt;=A208),1,0)</f>
        <v>0</v>
      </c>
      <c r="AA208" s="67" t="n">
        <f aca="false">U208*Z208</f>
        <v>0</v>
      </c>
      <c r="AC208" s="110" t="n">
        <f aca="false">F208*(H208-I208)</f>
        <v>0</v>
      </c>
      <c r="AD208" s="49"/>
      <c r="AE208" s="124"/>
    </row>
    <row r="209" customFormat="false" ht="12" hidden="false" customHeight="true" outlineLevel="0" collapsed="false">
      <c r="A209" s="115" t="n">
        <f aca="false">EDATE(A208,1)</f>
        <v>43313</v>
      </c>
      <c r="B209" s="116" t="n">
        <f aca="false">'Inputs-Summary'!$B$7</f>
        <v>3017157.21662952</v>
      </c>
      <c r="C209" s="57"/>
      <c r="D209" s="117" t="n">
        <f aca="false">B209+C209</f>
        <v>3017157.21662952</v>
      </c>
      <c r="E209" s="106" t="n">
        <f aca="false">IF(Z209=0,0,IF(AND(Z209=1,$H$3=1),D209*U209,IF($H$3=2,D209,"N/A")))</f>
        <v>0</v>
      </c>
      <c r="F209" s="106" t="n">
        <f aca="false">E209*Y209</f>
        <v>0</v>
      </c>
      <c r="G209" s="118" t="n">
        <f aca="false">VLOOKUP($A209,Table,MATCH(G$4,Curves,0))</f>
        <v>3</v>
      </c>
      <c r="H209" s="119" t="n">
        <f aca="false">G209+$H$7</f>
        <v>3</v>
      </c>
      <c r="I209" s="118" t="n">
        <f aca="false">'Inputs-Summary'!$B$16</f>
        <v>1.85</v>
      </c>
      <c r="J209" s="118" t="n">
        <f aca="false">VLOOKUP($A209,Table,MATCH(J$4,Curves,0))</f>
        <v>5</v>
      </c>
      <c r="K209" s="119" t="n">
        <f aca="false">J209+$K$7</f>
        <v>5</v>
      </c>
      <c r="L209" s="120" t="n">
        <f aca="false">K209</f>
        <v>5</v>
      </c>
      <c r="M209" s="118" t="n">
        <f aca="false">VLOOKUP($A209,Table,MATCH(M$4,Curves,0))</f>
        <v>5</v>
      </c>
      <c r="N209" s="119" t="n">
        <f aca="false">M209+$N$7</f>
        <v>5</v>
      </c>
      <c r="O209" s="120" t="n">
        <f aca="false">N209</f>
        <v>5</v>
      </c>
      <c r="P209" s="109"/>
      <c r="Q209" s="120" t="n">
        <f aca="false">IF($F$3=1,M209+J209+G209,J209+G209)</f>
        <v>8</v>
      </c>
      <c r="R209" s="120" t="n">
        <f aca="false">IF($F$3=1,N209+K209+H209,K209+H209)</f>
        <v>8</v>
      </c>
      <c r="S209" s="120" t="n">
        <f aca="false">IF($F$3=1,O209+L209+I209,L209+I209)</f>
        <v>6.85</v>
      </c>
      <c r="T209" s="121"/>
      <c r="U209" s="67" t="n">
        <f aca="false">A210-A209</f>
        <v>31</v>
      </c>
      <c r="V209" s="122" t="n">
        <f aca="false">CHOOSE(F$3,A210+24,A209)</f>
        <v>43313</v>
      </c>
      <c r="W209" s="67" t="n">
        <f aca="false">V209-C$3</f>
        <v>-2613</v>
      </c>
      <c r="X209" s="118" t="n">
        <f aca="false">VLOOKUP($A209,Table,MATCH(X$4,Curves,0))</f>
        <v>2</v>
      </c>
      <c r="Y209" s="123" t="n">
        <f aca="false">1/(1+CHOOSE(F$3,(X210+($K$3/10000))/2,(X209+($K$3/10000))/2))^(2*W209/365.25)</f>
        <v>20283.3484019245</v>
      </c>
      <c r="Z209" s="67" t="n">
        <f aca="false">IF(AND(mthbeg&lt;=A209,mthend&gt;=A209),1,0)</f>
        <v>0</v>
      </c>
      <c r="AA209" s="67" t="n">
        <f aca="false">U209*Z209</f>
        <v>0</v>
      </c>
      <c r="AC209" s="110" t="n">
        <f aca="false">F209*(H209-I209)</f>
        <v>0</v>
      </c>
      <c r="AD209" s="49"/>
      <c r="AE209" s="124"/>
    </row>
    <row r="210" customFormat="false" ht="12" hidden="false" customHeight="true" outlineLevel="0" collapsed="false">
      <c r="A210" s="115" t="n">
        <f aca="false">EDATE(A209,1)</f>
        <v>43344</v>
      </c>
      <c r="B210" s="116" t="n">
        <f aca="false">'Inputs-Summary'!$B$7</f>
        <v>3017157.21662952</v>
      </c>
      <c r="C210" s="57"/>
      <c r="D210" s="117" t="n">
        <f aca="false">B210+C210</f>
        <v>3017157.21662952</v>
      </c>
      <c r="E210" s="106" t="n">
        <f aca="false">IF(Z210=0,0,IF(AND(Z210=1,$H$3=1),D210*U210,IF($H$3=2,D210,"N/A")))</f>
        <v>0</v>
      </c>
      <c r="F210" s="106" t="n">
        <f aca="false">E210*Y210</f>
        <v>0</v>
      </c>
      <c r="G210" s="118" t="n">
        <f aca="false">VLOOKUP($A210,Table,MATCH(G$4,Curves,0))</f>
        <v>3</v>
      </c>
      <c r="H210" s="119" t="n">
        <f aca="false">G210+$H$7</f>
        <v>3</v>
      </c>
      <c r="I210" s="118" t="n">
        <f aca="false">'Inputs-Summary'!$B$16</f>
        <v>1.85</v>
      </c>
      <c r="J210" s="118" t="n">
        <f aca="false">VLOOKUP($A210,Table,MATCH(J$4,Curves,0))</f>
        <v>5</v>
      </c>
      <c r="K210" s="119" t="n">
        <f aca="false">J210+$K$7</f>
        <v>5</v>
      </c>
      <c r="L210" s="120" t="n">
        <f aca="false">K210</f>
        <v>5</v>
      </c>
      <c r="M210" s="118" t="n">
        <f aca="false">VLOOKUP($A210,Table,MATCH(M$4,Curves,0))</f>
        <v>5</v>
      </c>
      <c r="N210" s="119" t="n">
        <f aca="false">M210+$N$7</f>
        <v>5</v>
      </c>
      <c r="O210" s="120" t="n">
        <f aca="false">N210</f>
        <v>5</v>
      </c>
      <c r="P210" s="109"/>
      <c r="Q210" s="120" t="n">
        <f aca="false">IF($F$3=1,M210+J210+G210,J210+G210)</f>
        <v>8</v>
      </c>
      <c r="R210" s="120" t="n">
        <f aca="false">IF($F$3=1,N210+K210+H210,K210+H210)</f>
        <v>8</v>
      </c>
      <c r="S210" s="120" t="n">
        <f aca="false">IF($F$3=1,O210+L210+I210,L210+I210)</f>
        <v>6.85</v>
      </c>
      <c r="T210" s="121"/>
      <c r="U210" s="67" t="n">
        <f aca="false">A211-A210</f>
        <v>30</v>
      </c>
      <c r="V210" s="122" t="n">
        <f aca="false">CHOOSE(F$3,A211+24,A210)</f>
        <v>43344</v>
      </c>
      <c r="W210" s="67" t="n">
        <f aca="false">V210-C$3</f>
        <v>-2582</v>
      </c>
      <c r="X210" s="118" t="n">
        <f aca="false">VLOOKUP($A210,Table,MATCH(X$4,Curves,0))</f>
        <v>2</v>
      </c>
      <c r="Y210" s="123" t="n">
        <f aca="false">1/(1+CHOOSE(F$3,(X211+($K$3/10000))/2,(X210+($K$3/10000))/2))^(2*W210/365.25)</f>
        <v>18031.87081978</v>
      </c>
      <c r="Z210" s="67" t="n">
        <f aca="false">IF(AND(mthbeg&lt;=A210,mthend&gt;=A210),1,0)</f>
        <v>0</v>
      </c>
      <c r="AA210" s="67" t="n">
        <f aca="false">U210*Z210</f>
        <v>0</v>
      </c>
      <c r="AC210" s="110" t="n">
        <f aca="false">F210*(H210-I210)</f>
        <v>0</v>
      </c>
      <c r="AD210" s="49"/>
      <c r="AE210" s="124"/>
    </row>
    <row r="211" customFormat="false" ht="12" hidden="false" customHeight="true" outlineLevel="0" collapsed="false">
      <c r="A211" s="115" t="n">
        <f aca="false">EDATE(A210,1)</f>
        <v>43374</v>
      </c>
      <c r="B211" s="116" t="n">
        <f aca="false">'Inputs-Summary'!$B$7</f>
        <v>3017157.21662952</v>
      </c>
      <c r="C211" s="57"/>
      <c r="D211" s="117" t="n">
        <f aca="false">B211+C211</f>
        <v>3017157.21662952</v>
      </c>
      <c r="E211" s="106" t="n">
        <f aca="false">IF(Z211=0,0,IF(AND(Z211=1,$H$3=1),D211*U211,IF($H$3=2,D211,"N/A")))</f>
        <v>0</v>
      </c>
      <c r="F211" s="106" t="n">
        <f aca="false">E211*Y211</f>
        <v>0</v>
      </c>
      <c r="G211" s="118" t="n">
        <f aca="false">VLOOKUP($A211,Table,MATCH(G$4,Curves,0))</f>
        <v>3</v>
      </c>
      <c r="H211" s="119" t="n">
        <f aca="false">G211+$H$7</f>
        <v>3</v>
      </c>
      <c r="I211" s="118" t="n">
        <f aca="false">'Inputs-Summary'!$B$16</f>
        <v>1.85</v>
      </c>
      <c r="J211" s="118" t="n">
        <f aca="false">VLOOKUP($A211,Table,MATCH(J$4,Curves,0))</f>
        <v>5</v>
      </c>
      <c r="K211" s="119" t="n">
        <f aca="false">J211+$K$7</f>
        <v>5</v>
      </c>
      <c r="L211" s="120" t="n">
        <f aca="false">K211</f>
        <v>5</v>
      </c>
      <c r="M211" s="118" t="n">
        <f aca="false">VLOOKUP($A211,Table,MATCH(M$4,Curves,0))</f>
        <v>5</v>
      </c>
      <c r="N211" s="119" t="n">
        <f aca="false">M211+$N$7</f>
        <v>5</v>
      </c>
      <c r="O211" s="120" t="n">
        <f aca="false">N211</f>
        <v>5</v>
      </c>
      <c r="P211" s="109"/>
      <c r="Q211" s="120" t="n">
        <f aca="false">IF($F$3=1,M211+J211+G211,J211+G211)</f>
        <v>8</v>
      </c>
      <c r="R211" s="120" t="n">
        <f aca="false">IF($F$3=1,N211+K211+H211,K211+H211)</f>
        <v>8</v>
      </c>
      <c r="S211" s="120" t="n">
        <f aca="false">IF($F$3=1,O211+L211+I211,L211+I211)</f>
        <v>6.85</v>
      </c>
      <c r="T211" s="121"/>
      <c r="U211" s="67" t="n">
        <f aca="false">A212-A211</f>
        <v>31</v>
      </c>
      <c r="V211" s="122" t="n">
        <f aca="false">CHOOSE(F$3,A212+24,A211)</f>
        <v>43374</v>
      </c>
      <c r="W211" s="67" t="n">
        <f aca="false">V211-C$3</f>
        <v>-2552</v>
      </c>
      <c r="X211" s="118" t="n">
        <f aca="false">VLOOKUP($A211,Table,MATCH(X$4,Curves,0))</f>
        <v>2</v>
      </c>
      <c r="Y211" s="123" t="n">
        <f aca="false">1/(1+CHOOSE(F$3,(X212+($K$3/10000))/2,(X211+($K$3/10000))/2))^(2*W211/365.25)</f>
        <v>16091.2682491516</v>
      </c>
      <c r="Z211" s="67" t="n">
        <f aca="false">IF(AND(mthbeg&lt;=A211,mthend&gt;=A211),1,0)</f>
        <v>0</v>
      </c>
      <c r="AA211" s="67" t="n">
        <f aca="false">U211*Z211</f>
        <v>0</v>
      </c>
      <c r="AC211" s="110" t="n">
        <f aca="false">F211*(H211-I211)</f>
        <v>0</v>
      </c>
      <c r="AD211" s="49"/>
      <c r="AE211" s="124"/>
    </row>
    <row r="212" customFormat="false" ht="12" hidden="false" customHeight="true" outlineLevel="0" collapsed="false">
      <c r="A212" s="115" t="n">
        <f aca="false">EDATE(A211,1)</f>
        <v>43405</v>
      </c>
      <c r="B212" s="116" t="n">
        <f aca="false">'Inputs-Summary'!$B$7</f>
        <v>3017157.21662952</v>
      </c>
      <c r="C212" s="57"/>
      <c r="D212" s="117" t="n">
        <f aca="false">B212+C212</f>
        <v>3017157.21662952</v>
      </c>
      <c r="E212" s="106" t="n">
        <f aca="false">IF(Z212=0,0,IF(AND(Z212=1,$H$3=1),D212*U212,IF($H$3=2,D212,"N/A")))</f>
        <v>0</v>
      </c>
      <c r="F212" s="106" t="n">
        <f aca="false">E212*Y212</f>
        <v>0</v>
      </c>
      <c r="G212" s="118" t="n">
        <f aca="false">VLOOKUP($A212,Table,MATCH(G$4,Curves,0))</f>
        <v>3</v>
      </c>
      <c r="H212" s="119" t="n">
        <f aca="false">G212+$H$7</f>
        <v>3</v>
      </c>
      <c r="I212" s="118" t="n">
        <f aca="false">'Inputs-Summary'!$B$16</f>
        <v>1.85</v>
      </c>
      <c r="J212" s="118" t="n">
        <f aca="false">VLOOKUP($A212,Table,MATCH(J$4,Curves,0))</f>
        <v>5</v>
      </c>
      <c r="K212" s="119" t="n">
        <f aca="false">J212+$K$7</f>
        <v>5</v>
      </c>
      <c r="L212" s="120" t="n">
        <f aca="false">K212</f>
        <v>5</v>
      </c>
      <c r="M212" s="118" t="n">
        <f aca="false">VLOOKUP($A212,Table,MATCH(M$4,Curves,0))</f>
        <v>5</v>
      </c>
      <c r="N212" s="119" t="n">
        <f aca="false">M212+$N$7</f>
        <v>5</v>
      </c>
      <c r="O212" s="120" t="n">
        <f aca="false">N212</f>
        <v>5</v>
      </c>
      <c r="P212" s="109"/>
      <c r="Q212" s="120" t="n">
        <f aca="false">IF($F$3=1,M212+J212+G212,J212+G212)</f>
        <v>8</v>
      </c>
      <c r="R212" s="120" t="n">
        <f aca="false">IF($F$3=1,N212+K212+H212,K212+H212)</f>
        <v>8</v>
      </c>
      <c r="S212" s="120" t="n">
        <f aca="false">IF($F$3=1,O212+L212+I212,L212+I212)</f>
        <v>6.85</v>
      </c>
      <c r="T212" s="121"/>
      <c r="U212" s="67" t="n">
        <f aca="false">A213-A212</f>
        <v>30</v>
      </c>
      <c r="V212" s="122" t="n">
        <f aca="false">CHOOSE(F$3,A213+24,A212)</f>
        <v>43405</v>
      </c>
      <c r="W212" s="67" t="n">
        <f aca="false">V212-C$3</f>
        <v>-2521</v>
      </c>
      <c r="X212" s="118" t="n">
        <f aca="false">VLOOKUP($A212,Table,MATCH(X$4,Curves,0))</f>
        <v>2</v>
      </c>
      <c r="Y212" s="123" t="n">
        <f aca="false">1/(1+CHOOSE(F$3,(X213+($K$3/10000))/2,(X212+($K$3/10000))/2))^(2*W212/365.25)</f>
        <v>14305.1169188415</v>
      </c>
      <c r="Z212" s="67" t="n">
        <f aca="false">IF(AND(mthbeg&lt;=A212,mthend&gt;=A212),1,0)</f>
        <v>0</v>
      </c>
      <c r="AA212" s="67" t="n">
        <f aca="false">U212*Z212</f>
        <v>0</v>
      </c>
      <c r="AC212" s="110" t="n">
        <f aca="false">F212*(H212-I212)</f>
        <v>0</v>
      </c>
      <c r="AD212" s="49"/>
      <c r="AE212" s="124"/>
    </row>
    <row r="213" customFormat="false" ht="12" hidden="false" customHeight="true" outlineLevel="0" collapsed="false">
      <c r="A213" s="115" t="n">
        <f aca="false">EDATE(A212,1)</f>
        <v>43435</v>
      </c>
      <c r="B213" s="116" t="n">
        <f aca="false">'Inputs-Summary'!$B$7</f>
        <v>3017157.21662952</v>
      </c>
      <c r="C213" s="57"/>
      <c r="D213" s="117" t="n">
        <f aca="false">B213+C213</f>
        <v>3017157.21662952</v>
      </c>
      <c r="E213" s="106" t="n">
        <f aca="false">IF(Z213=0,0,IF(AND(Z213=1,$H$3=1),D213*U213,IF($H$3=2,D213,"N/A")))</f>
        <v>0</v>
      </c>
      <c r="F213" s="106" t="n">
        <f aca="false">E213*Y213</f>
        <v>0</v>
      </c>
      <c r="G213" s="118" t="n">
        <f aca="false">VLOOKUP($A213,Table,MATCH(G$4,Curves,0))</f>
        <v>3</v>
      </c>
      <c r="H213" s="119" t="n">
        <f aca="false">G213+$H$7</f>
        <v>3</v>
      </c>
      <c r="I213" s="118" t="n">
        <f aca="false">'Inputs-Summary'!$B$16</f>
        <v>1.85</v>
      </c>
      <c r="J213" s="118" t="n">
        <f aca="false">VLOOKUP($A213,Table,MATCH(J$4,Curves,0))</f>
        <v>5</v>
      </c>
      <c r="K213" s="119" t="n">
        <f aca="false">J213+$K$7</f>
        <v>5</v>
      </c>
      <c r="L213" s="120" t="n">
        <f aca="false">K213</f>
        <v>5</v>
      </c>
      <c r="M213" s="118" t="n">
        <f aca="false">VLOOKUP($A213,Table,MATCH(M$4,Curves,0))</f>
        <v>5</v>
      </c>
      <c r="N213" s="119" t="n">
        <f aca="false">M213+$N$7</f>
        <v>5</v>
      </c>
      <c r="O213" s="120" t="n">
        <f aca="false">N213</f>
        <v>5</v>
      </c>
      <c r="P213" s="109"/>
      <c r="Q213" s="120" t="n">
        <f aca="false">IF($F$3=1,M213+J213+G213,J213+G213)</f>
        <v>8</v>
      </c>
      <c r="R213" s="120" t="n">
        <f aca="false">IF($F$3=1,N213+K213+H213,K213+H213)</f>
        <v>8</v>
      </c>
      <c r="S213" s="120" t="n">
        <f aca="false">IF($F$3=1,O213+L213+I213,L213+I213)</f>
        <v>6.85</v>
      </c>
      <c r="T213" s="121"/>
      <c r="U213" s="67" t="n">
        <f aca="false">A214-A213</f>
        <v>31</v>
      </c>
      <c r="V213" s="122" t="n">
        <f aca="false">CHOOSE(F$3,A214+24,A213)</f>
        <v>43435</v>
      </c>
      <c r="W213" s="67" t="n">
        <f aca="false">V213-C$3</f>
        <v>-2491</v>
      </c>
      <c r="X213" s="118" t="n">
        <f aca="false">VLOOKUP($A213,Table,MATCH(X$4,Curves,0))</f>
        <v>2</v>
      </c>
      <c r="Y213" s="123" t="n">
        <f aca="false">1/(1+CHOOSE(F$3,(X214+($K$3/10000))/2,(X213+($K$3/10000))/2))^(2*W213/365.25)</f>
        <v>12765.5902139701</v>
      </c>
      <c r="Z213" s="67" t="n">
        <f aca="false">IF(AND(mthbeg&lt;=A213,mthend&gt;=A213),1,0)</f>
        <v>0</v>
      </c>
      <c r="AA213" s="67" t="n">
        <f aca="false">U213*Z213</f>
        <v>0</v>
      </c>
      <c r="AC213" s="110" t="n">
        <f aca="false">F213*(H213-I213)</f>
        <v>0</v>
      </c>
      <c r="AD213" s="49"/>
      <c r="AE213" s="124"/>
    </row>
    <row r="214" customFormat="false" ht="12" hidden="false" customHeight="true" outlineLevel="0" collapsed="false">
      <c r="A214" s="115" t="n">
        <f aca="false">EDATE(A213,1)</f>
        <v>43466</v>
      </c>
      <c r="B214" s="116" t="n">
        <f aca="false">'Inputs-Summary'!$B$7</f>
        <v>3017157.21662952</v>
      </c>
      <c r="C214" s="57"/>
      <c r="D214" s="117" t="n">
        <f aca="false">B214+C214</f>
        <v>3017157.21662952</v>
      </c>
      <c r="E214" s="106" t="n">
        <f aca="false">IF(Z214=0,0,IF(AND(Z214=1,$H$3=1),D214*U214,IF($H$3=2,D214,"N/A")))</f>
        <v>0</v>
      </c>
      <c r="F214" s="106" t="n">
        <f aca="false">E214*Y214</f>
        <v>0</v>
      </c>
      <c r="G214" s="118" t="n">
        <f aca="false">VLOOKUP($A214,Table,MATCH(G$4,Curves,0))</f>
        <v>3</v>
      </c>
      <c r="H214" s="119" t="n">
        <f aca="false">G214+$H$7</f>
        <v>3</v>
      </c>
      <c r="I214" s="118" t="n">
        <f aca="false">'Inputs-Summary'!$B$16</f>
        <v>1.85</v>
      </c>
      <c r="J214" s="118" t="n">
        <f aca="false">VLOOKUP($A214,Table,MATCH(J$4,Curves,0))</f>
        <v>5</v>
      </c>
      <c r="K214" s="119" t="n">
        <f aca="false">J214+$K$7</f>
        <v>5</v>
      </c>
      <c r="L214" s="120" t="n">
        <f aca="false">K214</f>
        <v>5</v>
      </c>
      <c r="M214" s="118" t="n">
        <f aca="false">VLOOKUP($A214,Table,MATCH(M$4,Curves,0))</f>
        <v>5</v>
      </c>
      <c r="N214" s="119" t="n">
        <f aca="false">M214+$N$7</f>
        <v>5</v>
      </c>
      <c r="O214" s="120" t="n">
        <f aca="false">N214</f>
        <v>5</v>
      </c>
      <c r="P214" s="109"/>
      <c r="Q214" s="120" t="n">
        <f aca="false">IF($F$3=1,M214+J214+G214,J214+G214)</f>
        <v>8</v>
      </c>
      <c r="R214" s="120" t="n">
        <f aca="false">IF($F$3=1,N214+K214+H214,K214+H214)</f>
        <v>8</v>
      </c>
      <c r="S214" s="120" t="n">
        <f aca="false">IF($F$3=1,O214+L214+I214,L214+I214)</f>
        <v>6.85</v>
      </c>
      <c r="T214" s="121"/>
      <c r="U214" s="67" t="n">
        <f aca="false">A215-A214</f>
        <v>31</v>
      </c>
      <c r="V214" s="122" t="n">
        <f aca="false">CHOOSE(F$3,A215+24,A214)</f>
        <v>43466</v>
      </c>
      <c r="W214" s="67" t="n">
        <f aca="false">V214-C$3</f>
        <v>-2460</v>
      </c>
      <c r="X214" s="118" t="n">
        <f aca="false">VLOOKUP($A214,Table,MATCH(X$4,Curves,0))</f>
        <v>2</v>
      </c>
      <c r="Y214" s="123" t="n">
        <f aca="false">1/(1+CHOOSE(F$3,(X215+($K$3/10000))/2,(X214+($K$3/10000))/2))^(2*W214/365.25)</f>
        <v>11348.5933937177</v>
      </c>
      <c r="Z214" s="67" t="n">
        <f aca="false">IF(AND(mthbeg&lt;=A214,mthend&gt;=A214),1,0)</f>
        <v>0</v>
      </c>
      <c r="AA214" s="67" t="n">
        <f aca="false">U214*Z214</f>
        <v>0</v>
      </c>
      <c r="AC214" s="110" t="n">
        <f aca="false">F214*(H214-I214)</f>
        <v>0</v>
      </c>
      <c r="AD214" s="49"/>
      <c r="AE214" s="124"/>
    </row>
    <row r="215" customFormat="false" ht="12" hidden="false" customHeight="true" outlineLevel="0" collapsed="false">
      <c r="A215" s="115" t="n">
        <f aca="false">EDATE(A214,1)</f>
        <v>43497</v>
      </c>
      <c r="B215" s="116" t="n">
        <f aca="false">'Inputs-Summary'!$B$7</f>
        <v>3017157.21662952</v>
      </c>
      <c r="C215" s="57"/>
      <c r="D215" s="117" t="n">
        <f aca="false">B215+C215</f>
        <v>3017157.21662952</v>
      </c>
      <c r="E215" s="106" t="n">
        <f aca="false">IF(Z215=0,0,IF(AND(Z215=1,$H$3=1),D215*U215,IF($H$3=2,D215,"N/A")))</f>
        <v>0</v>
      </c>
      <c r="F215" s="106" t="n">
        <f aca="false">E215*Y215</f>
        <v>0</v>
      </c>
      <c r="G215" s="118" t="n">
        <f aca="false">VLOOKUP($A215,Table,MATCH(G$4,Curves,0))</f>
        <v>3</v>
      </c>
      <c r="H215" s="119" t="n">
        <f aca="false">G215+$H$7</f>
        <v>3</v>
      </c>
      <c r="I215" s="118" t="n">
        <f aca="false">'Inputs-Summary'!$B$16</f>
        <v>1.85</v>
      </c>
      <c r="J215" s="118" t="n">
        <f aca="false">VLOOKUP($A215,Table,MATCH(J$4,Curves,0))</f>
        <v>5</v>
      </c>
      <c r="K215" s="119" t="n">
        <f aca="false">J215+$K$7</f>
        <v>5</v>
      </c>
      <c r="L215" s="120" t="n">
        <f aca="false">K215</f>
        <v>5</v>
      </c>
      <c r="M215" s="118" t="n">
        <f aca="false">VLOOKUP($A215,Table,MATCH(M$4,Curves,0))</f>
        <v>5</v>
      </c>
      <c r="N215" s="119" t="n">
        <f aca="false">M215+$N$7</f>
        <v>5</v>
      </c>
      <c r="O215" s="120" t="n">
        <f aca="false">N215</f>
        <v>5</v>
      </c>
      <c r="P215" s="109"/>
      <c r="Q215" s="120" t="n">
        <f aca="false">IF($F$3=1,M215+J215+G215,J215+G215)</f>
        <v>8</v>
      </c>
      <c r="R215" s="120" t="n">
        <f aca="false">IF($F$3=1,N215+K215+H215,K215+H215)</f>
        <v>8</v>
      </c>
      <c r="S215" s="120" t="n">
        <f aca="false">IF($F$3=1,O215+L215+I215,L215+I215)</f>
        <v>6.85</v>
      </c>
      <c r="T215" s="121"/>
      <c r="U215" s="67" t="n">
        <f aca="false">A216-A215</f>
        <v>28</v>
      </c>
      <c r="V215" s="122" t="n">
        <f aca="false">CHOOSE(F$3,A216+24,A215)</f>
        <v>43497</v>
      </c>
      <c r="W215" s="67" t="n">
        <f aca="false">V215-C$3</f>
        <v>-2429</v>
      </c>
      <c r="X215" s="118" t="n">
        <f aca="false">VLOOKUP($A215,Table,MATCH(X$4,Curves,0))</f>
        <v>2</v>
      </c>
      <c r="Y215" s="123" t="n">
        <f aca="false">1/(1+CHOOSE(F$3,(X216+($K$3/10000))/2,(X215+($K$3/10000))/2))^(2*W215/365.25)</f>
        <v>10088.8850305559</v>
      </c>
      <c r="Z215" s="67" t="n">
        <f aca="false">IF(AND(mthbeg&lt;=A215,mthend&gt;=A215),1,0)</f>
        <v>0</v>
      </c>
      <c r="AA215" s="67" t="n">
        <f aca="false">U215*Z215</f>
        <v>0</v>
      </c>
      <c r="AC215" s="110" t="n">
        <f aca="false">F215*(H215-I215)</f>
        <v>0</v>
      </c>
      <c r="AD215" s="49"/>
      <c r="AE215" s="124"/>
    </row>
    <row r="216" customFormat="false" ht="12" hidden="false" customHeight="true" outlineLevel="0" collapsed="false">
      <c r="A216" s="115" t="n">
        <f aca="false">EDATE(A215,1)</f>
        <v>43525</v>
      </c>
      <c r="B216" s="116" t="n">
        <f aca="false">'Inputs-Summary'!$B$7</f>
        <v>3017157.21662952</v>
      </c>
      <c r="C216" s="57"/>
      <c r="D216" s="117" t="n">
        <f aca="false">B216+C216</f>
        <v>3017157.21662952</v>
      </c>
      <c r="E216" s="106" t="n">
        <f aca="false">IF(Z216=0,0,IF(AND(Z216=1,$H$3=1),D216*U216,IF($H$3=2,D216,"N/A")))</f>
        <v>0</v>
      </c>
      <c r="F216" s="106" t="n">
        <f aca="false">E216*Y216</f>
        <v>0</v>
      </c>
      <c r="G216" s="118" t="n">
        <f aca="false">VLOOKUP($A216,Table,MATCH(G$4,Curves,0))</f>
        <v>3</v>
      </c>
      <c r="H216" s="119" t="n">
        <f aca="false">G216+$H$7</f>
        <v>3</v>
      </c>
      <c r="I216" s="118" t="n">
        <f aca="false">'Inputs-Summary'!$B$16</f>
        <v>1.85</v>
      </c>
      <c r="J216" s="118" t="n">
        <f aca="false">VLOOKUP($A216,Table,MATCH(J$4,Curves,0))</f>
        <v>5</v>
      </c>
      <c r="K216" s="119" t="n">
        <f aca="false">J216+$K$7</f>
        <v>5</v>
      </c>
      <c r="L216" s="120" t="n">
        <f aca="false">K216</f>
        <v>5</v>
      </c>
      <c r="M216" s="118" t="n">
        <f aca="false">VLOOKUP($A216,Table,MATCH(M$4,Curves,0))</f>
        <v>5</v>
      </c>
      <c r="N216" s="119" t="n">
        <f aca="false">M216+$N$7</f>
        <v>5</v>
      </c>
      <c r="O216" s="120" t="n">
        <f aca="false">N216</f>
        <v>5</v>
      </c>
      <c r="P216" s="109"/>
      <c r="Q216" s="120" t="n">
        <f aca="false">IF($F$3=1,M216+J216+G216,J216+G216)</f>
        <v>8</v>
      </c>
      <c r="R216" s="120" t="n">
        <f aca="false">IF($F$3=1,N216+K216+H216,K216+H216)</f>
        <v>8</v>
      </c>
      <c r="S216" s="120" t="n">
        <f aca="false">IF($F$3=1,O216+L216+I216,L216+I216)</f>
        <v>6.85</v>
      </c>
      <c r="T216" s="121"/>
      <c r="U216" s="67" t="n">
        <f aca="false">A217-A216</f>
        <v>31</v>
      </c>
      <c r="V216" s="122" t="n">
        <f aca="false">CHOOSE(F$3,A217+24,A216)</f>
        <v>43525</v>
      </c>
      <c r="W216" s="67" t="n">
        <f aca="false">V216-C$3</f>
        <v>-2401</v>
      </c>
      <c r="X216" s="118" t="n">
        <f aca="false">VLOOKUP($A216,Table,MATCH(X$4,Curves,0))</f>
        <v>2</v>
      </c>
      <c r="Y216" s="123" t="n">
        <f aca="false">1/(1+CHOOSE(F$3,(X217+($K$3/10000))/2,(X216+($K$3/10000))/2))^(2*W216/365.25)</f>
        <v>9071.7142349911</v>
      </c>
      <c r="Z216" s="67" t="n">
        <f aca="false">IF(AND(mthbeg&lt;=A216,mthend&gt;=A216),1,0)</f>
        <v>0</v>
      </c>
      <c r="AA216" s="67" t="n">
        <f aca="false">U216*Z216</f>
        <v>0</v>
      </c>
      <c r="AC216" s="110" t="n">
        <f aca="false">F216*(H216-I216)</f>
        <v>0</v>
      </c>
      <c r="AD216" s="49"/>
      <c r="AE216" s="124"/>
    </row>
    <row r="217" customFormat="false" ht="12" hidden="false" customHeight="true" outlineLevel="0" collapsed="false">
      <c r="A217" s="115" t="n">
        <f aca="false">EDATE(A216,1)</f>
        <v>43556</v>
      </c>
      <c r="B217" s="116" t="n">
        <f aca="false">'Inputs-Summary'!$B$7</f>
        <v>3017157.21662952</v>
      </c>
      <c r="C217" s="57"/>
      <c r="D217" s="117" t="n">
        <f aca="false">B217+C217</f>
        <v>3017157.21662952</v>
      </c>
      <c r="E217" s="106" t="n">
        <f aca="false">IF(Z217=0,0,IF(AND(Z217=1,$H$3=1),D217*U217,IF($H$3=2,D217,"N/A")))</f>
        <v>0</v>
      </c>
      <c r="F217" s="106" t="n">
        <f aca="false">E217*Y217</f>
        <v>0</v>
      </c>
      <c r="G217" s="118" t="n">
        <f aca="false">VLOOKUP($A217,Table,MATCH(G$4,Curves,0))</f>
        <v>3</v>
      </c>
      <c r="H217" s="119" t="n">
        <f aca="false">G217+$H$7</f>
        <v>3</v>
      </c>
      <c r="I217" s="118" t="n">
        <f aca="false">'Inputs-Summary'!$B$16</f>
        <v>1.85</v>
      </c>
      <c r="J217" s="118" t="n">
        <f aca="false">VLOOKUP($A217,Table,MATCH(J$4,Curves,0))</f>
        <v>5</v>
      </c>
      <c r="K217" s="119" t="n">
        <f aca="false">J217+$K$7</f>
        <v>5</v>
      </c>
      <c r="L217" s="120" t="n">
        <f aca="false">K217</f>
        <v>5</v>
      </c>
      <c r="M217" s="118" t="n">
        <f aca="false">VLOOKUP($A217,Table,MATCH(M$4,Curves,0))</f>
        <v>5</v>
      </c>
      <c r="N217" s="119" t="n">
        <f aca="false">M217+$N$7</f>
        <v>5</v>
      </c>
      <c r="O217" s="120" t="n">
        <f aca="false">N217</f>
        <v>5</v>
      </c>
      <c r="P217" s="109"/>
      <c r="Q217" s="120" t="n">
        <f aca="false">IF($F$3=1,M217+J217+G217,J217+G217)</f>
        <v>8</v>
      </c>
      <c r="R217" s="120" t="n">
        <f aca="false">IF($F$3=1,N217+K217+H217,K217+H217)</f>
        <v>8</v>
      </c>
      <c r="S217" s="120" t="n">
        <f aca="false">IF($F$3=1,O217+L217+I217,L217+I217)</f>
        <v>6.85</v>
      </c>
      <c r="T217" s="121"/>
      <c r="U217" s="67" t="n">
        <f aca="false">A218-A217</f>
        <v>30</v>
      </c>
      <c r="V217" s="122" t="n">
        <f aca="false">CHOOSE(F$3,A218+24,A217)</f>
        <v>43556</v>
      </c>
      <c r="W217" s="67" t="n">
        <f aca="false">V217-C$3</f>
        <v>-2370</v>
      </c>
      <c r="X217" s="118" t="n">
        <f aca="false">VLOOKUP($A217,Table,MATCH(X$4,Curves,0))</f>
        <v>2</v>
      </c>
      <c r="Y217" s="123" t="n">
        <f aca="false">1/(1+CHOOSE(F$3,(X218+($K$3/10000))/2,(X217+($K$3/10000))/2))^(2*W217/365.25)</f>
        <v>8064.74236688641</v>
      </c>
      <c r="Z217" s="67" t="n">
        <f aca="false">IF(AND(mthbeg&lt;=A217,mthend&gt;=A217),1,0)</f>
        <v>0</v>
      </c>
      <c r="AA217" s="67" t="n">
        <f aca="false">U217*Z217</f>
        <v>0</v>
      </c>
      <c r="AC217" s="110" t="n">
        <f aca="false">F217*(H217-I217)</f>
        <v>0</v>
      </c>
      <c r="AD217" s="49"/>
      <c r="AE217" s="124"/>
    </row>
    <row r="218" customFormat="false" ht="12" hidden="false" customHeight="true" outlineLevel="0" collapsed="false">
      <c r="A218" s="115" t="n">
        <f aca="false">EDATE(A217,1)</f>
        <v>43586</v>
      </c>
      <c r="B218" s="116" t="n">
        <f aca="false">'Inputs-Summary'!$B$7</f>
        <v>3017157.21662952</v>
      </c>
      <c r="C218" s="57"/>
      <c r="D218" s="117" t="n">
        <f aca="false">B218+C218</f>
        <v>3017157.21662952</v>
      </c>
      <c r="E218" s="106" t="n">
        <f aca="false">IF(Z218=0,0,IF(AND(Z218=1,$H$3=1),D218*U218,IF($H$3=2,D218,"N/A")))</f>
        <v>0</v>
      </c>
      <c r="F218" s="106" t="n">
        <f aca="false">E218*Y218</f>
        <v>0</v>
      </c>
      <c r="G218" s="118" t="n">
        <f aca="false">VLOOKUP($A218,Table,MATCH(G$4,Curves,0))</f>
        <v>3</v>
      </c>
      <c r="H218" s="119" t="n">
        <f aca="false">G218+$H$7</f>
        <v>3</v>
      </c>
      <c r="I218" s="118" t="n">
        <f aca="false">'Inputs-Summary'!$B$16</f>
        <v>1.85</v>
      </c>
      <c r="J218" s="118" t="n">
        <f aca="false">VLOOKUP($A218,Table,MATCH(J$4,Curves,0))</f>
        <v>5</v>
      </c>
      <c r="K218" s="119" t="n">
        <f aca="false">J218+$K$7</f>
        <v>5</v>
      </c>
      <c r="L218" s="120" t="n">
        <f aca="false">K218</f>
        <v>5</v>
      </c>
      <c r="M218" s="118" t="n">
        <f aca="false">VLOOKUP($A218,Table,MATCH(M$4,Curves,0))</f>
        <v>5</v>
      </c>
      <c r="N218" s="119" t="n">
        <f aca="false">M218+$N$7</f>
        <v>5</v>
      </c>
      <c r="O218" s="120" t="n">
        <f aca="false">N218</f>
        <v>5</v>
      </c>
      <c r="P218" s="109"/>
      <c r="Q218" s="120" t="n">
        <f aca="false">IF($F$3=1,M218+J218+G218,J218+G218)</f>
        <v>8</v>
      </c>
      <c r="R218" s="120" t="n">
        <f aca="false">IF($F$3=1,N218+K218+H218,K218+H218)</f>
        <v>8</v>
      </c>
      <c r="S218" s="120" t="n">
        <f aca="false">IF($F$3=1,O218+L218+I218,L218+I218)</f>
        <v>6.85</v>
      </c>
      <c r="T218" s="121"/>
      <c r="U218" s="67" t="n">
        <f aca="false">A219-A218</f>
        <v>31</v>
      </c>
      <c r="V218" s="122" t="n">
        <f aca="false">CHOOSE(F$3,A219+24,A218)</f>
        <v>43586</v>
      </c>
      <c r="W218" s="67" t="n">
        <f aca="false">V218-C$3</f>
        <v>-2340</v>
      </c>
      <c r="X218" s="118" t="n">
        <f aca="false">VLOOKUP($A218,Table,MATCH(X$4,Curves,0))</f>
        <v>2</v>
      </c>
      <c r="Y218" s="123" t="n">
        <f aca="false">1/(1+CHOOSE(F$3,(X219+($K$3/10000))/2,(X218+($K$3/10000))/2))^(2*W218/365.25)</f>
        <v>7196.80914325951</v>
      </c>
      <c r="Z218" s="67" t="n">
        <f aca="false">IF(AND(mthbeg&lt;=A218,mthend&gt;=A218),1,0)</f>
        <v>0</v>
      </c>
      <c r="AA218" s="67" t="n">
        <f aca="false">U218*Z218</f>
        <v>0</v>
      </c>
      <c r="AC218" s="110" t="n">
        <f aca="false">F218*(H218-I218)</f>
        <v>0</v>
      </c>
      <c r="AD218" s="49"/>
      <c r="AE218" s="124"/>
    </row>
    <row r="219" customFormat="false" ht="12" hidden="false" customHeight="true" outlineLevel="0" collapsed="false">
      <c r="A219" s="115" t="n">
        <f aca="false">EDATE(A218,1)</f>
        <v>43617</v>
      </c>
      <c r="B219" s="116" t="n">
        <f aca="false">'Inputs-Summary'!$B$7</f>
        <v>3017157.21662952</v>
      </c>
      <c r="C219" s="57"/>
      <c r="D219" s="117" t="n">
        <f aca="false">B219+C219</f>
        <v>3017157.21662952</v>
      </c>
      <c r="E219" s="106" t="n">
        <f aca="false">IF(Z219=0,0,IF(AND(Z219=1,$H$3=1),D219*U219,IF($H$3=2,D219,"N/A")))</f>
        <v>0</v>
      </c>
      <c r="F219" s="106" t="n">
        <f aca="false">E219*Y219</f>
        <v>0</v>
      </c>
      <c r="G219" s="118" t="n">
        <f aca="false">VLOOKUP($A219,Table,MATCH(G$4,Curves,0))</f>
        <v>3</v>
      </c>
      <c r="H219" s="119" t="n">
        <f aca="false">G219+$H$7</f>
        <v>3</v>
      </c>
      <c r="I219" s="118" t="n">
        <f aca="false">'Inputs-Summary'!$B$16</f>
        <v>1.85</v>
      </c>
      <c r="J219" s="118" t="n">
        <f aca="false">VLOOKUP($A219,Table,MATCH(J$4,Curves,0))</f>
        <v>5</v>
      </c>
      <c r="K219" s="119" t="n">
        <f aca="false">J219+$K$7</f>
        <v>5</v>
      </c>
      <c r="L219" s="120" t="n">
        <f aca="false">K219</f>
        <v>5</v>
      </c>
      <c r="M219" s="118" t="n">
        <f aca="false">VLOOKUP($A219,Table,MATCH(M$4,Curves,0))</f>
        <v>5</v>
      </c>
      <c r="N219" s="119" t="n">
        <f aca="false">M219+$N$7</f>
        <v>5</v>
      </c>
      <c r="O219" s="120" t="n">
        <f aca="false">N219</f>
        <v>5</v>
      </c>
      <c r="P219" s="109"/>
      <c r="Q219" s="120" t="n">
        <f aca="false">IF($F$3=1,M219+J219+G219,J219+G219)</f>
        <v>8</v>
      </c>
      <c r="R219" s="120" t="n">
        <f aca="false">IF($F$3=1,N219+K219+H219,K219+H219)</f>
        <v>8</v>
      </c>
      <c r="S219" s="120" t="n">
        <f aca="false">IF($F$3=1,O219+L219+I219,L219+I219)</f>
        <v>6.85</v>
      </c>
      <c r="T219" s="121"/>
      <c r="U219" s="67" t="n">
        <f aca="false">A220-A219</f>
        <v>30</v>
      </c>
      <c r="V219" s="122" t="n">
        <f aca="false">CHOOSE(F$3,A220+24,A219)</f>
        <v>43617</v>
      </c>
      <c r="W219" s="67" t="n">
        <f aca="false">V219-C$3</f>
        <v>-2309</v>
      </c>
      <c r="X219" s="118" t="n">
        <f aca="false">VLOOKUP($A219,Table,MATCH(X$4,Curves,0))</f>
        <v>2</v>
      </c>
      <c r="Y219" s="123" t="n">
        <f aca="false">1/(1+CHOOSE(F$3,(X220+($K$3/10000))/2,(X219+($K$3/10000))/2))^(2*W219/365.25)</f>
        <v>6397.95413530212</v>
      </c>
      <c r="Z219" s="67" t="n">
        <f aca="false">IF(AND(mthbeg&lt;=A219,mthend&gt;=A219),1,0)</f>
        <v>0</v>
      </c>
      <c r="AA219" s="67" t="n">
        <f aca="false">U219*Z219</f>
        <v>0</v>
      </c>
      <c r="AC219" s="110" t="n">
        <f aca="false">F219*(H219-I219)</f>
        <v>0</v>
      </c>
      <c r="AD219" s="49"/>
      <c r="AE219" s="124"/>
    </row>
    <row r="220" customFormat="false" ht="12" hidden="false" customHeight="true" outlineLevel="0" collapsed="false">
      <c r="A220" s="115" t="n">
        <f aca="false">EDATE(A219,1)</f>
        <v>43647</v>
      </c>
      <c r="B220" s="116" t="n">
        <f aca="false">'Inputs-Summary'!$B$7</f>
        <v>3017157.21662952</v>
      </c>
      <c r="C220" s="57"/>
      <c r="D220" s="117" t="n">
        <f aca="false">B220+C220</f>
        <v>3017157.21662952</v>
      </c>
      <c r="E220" s="106" t="n">
        <f aca="false">IF(Z220=0,0,IF(AND(Z220=1,$H$3=1),D220*U220,IF($H$3=2,D220,"N/A")))</f>
        <v>0</v>
      </c>
      <c r="F220" s="106" t="n">
        <f aca="false">E220*Y220</f>
        <v>0</v>
      </c>
      <c r="G220" s="118" t="n">
        <f aca="false">VLOOKUP($A220,Table,MATCH(G$4,Curves,0))</f>
        <v>3</v>
      </c>
      <c r="H220" s="119" t="n">
        <f aca="false">G220+$H$7</f>
        <v>3</v>
      </c>
      <c r="I220" s="118" t="n">
        <f aca="false">'Inputs-Summary'!$B$16</f>
        <v>1.85</v>
      </c>
      <c r="J220" s="118" t="n">
        <f aca="false">VLOOKUP($A220,Table,MATCH(J$4,Curves,0))</f>
        <v>5</v>
      </c>
      <c r="K220" s="119" t="n">
        <f aca="false">J220+$K$7</f>
        <v>5</v>
      </c>
      <c r="L220" s="120" t="n">
        <f aca="false">K220</f>
        <v>5</v>
      </c>
      <c r="M220" s="118" t="n">
        <f aca="false">VLOOKUP($A220,Table,MATCH(M$4,Curves,0))</f>
        <v>5</v>
      </c>
      <c r="N220" s="119" t="n">
        <f aca="false">M220+$N$7</f>
        <v>5</v>
      </c>
      <c r="O220" s="120" t="n">
        <f aca="false">N220</f>
        <v>5</v>
      </c>
      <c r="P220" s="109"/>
      <c r="Q220" s="120" t="n">
        <f aca="false">IF($F$3=1,M220+J220+G220,J220+G220)</f>
        <v>8</v>
      </c>
      <c r="R220" s="120" t="n">
        <f aca="false">IF($F$3=1,N220+K220+H220,K220+H220)</f>
        <v>8</v>
      </c>
      <c r="S220" s="120" t="n">
        <f aca="false">IF($F$3=1,O220+L220+I220,L220+I220)</f>
        <v>6.85</v>
      </c>
      <c r="T220" s="121"/>
      <c r="U220" s="67" t="n">
        <f aca="false">A221-A220</f>
        <v>31</v>
      </c>
      <c r="V220" s="122" t="n">
        <f aca="false">CHOOSE(F$3,A221+24,A220)</f>
        <v>43647</v>
      </c>
      <c r="W220" s="67" t="n">
        <f aca="false">V220-C$3</f>
        <v>-2279</v>
      </c>
      <c r="X220" s="118" t="n">
        <f aca="false">VLOOKUP($A220,Table,MATCH(X$4,Curves,0))</f>
        <v>2</v>
      </c>
      <c r="Y220" s="123" t="n">
        <f aca="false">1/(1+CHOOSE(F$3,(X221+($K$3/10000))/2,(X220+($K$3/10000))/2))^(2*W220/365.25)</f>
        <v>5709.4018288986</v>
      </c>
      <c r="Z220" s="67" t="n">
        <f aca="false">IF(AND(mthbeg&lt;=A220,mthend&gt;=A220),1,0)</f>
        <v>0</v>
      </c>
      <c r="AA220" s="67" t="n">
        <f aca="false">U220*Z220</f>
        <v>0</v>
      </c>
      <c r="AC220" s="110" t="n">
        <f aca="false">F220*(H220-I220)</f>
        <v>0</v>
      </c>
      <c r="AD220" s="49"/>
      <c r="AE220" s="124"/>
    </row>
    <row r="221" customFormat="false" ht="12" hidden="false" customHeight="true" outlineLevel="0" collapsed="false">
      <c r="A221" s="115" t="n">
        <f aca="false">EDATE(A220,1)</f>
        <v>43678</v>
      </c>
      <c r="B221" s="116" t="n">
        <f aca="false">'Inputs-Summary'!$B$7</f>
        <v>3017157.21662952</v>
      </c>
      <c r="C221" s="57"/>
      <c r="D221" s="117" t="n">
        <f aca="false">B221+C221</f>
        <v>3017157.21662952</v>
      </c>
      <c r="E221" s="106" t="n">
        <f aca="false">IF(Z221=0,0,IF(AND(Z221=1,$H$3=1),D221*U221,IF($H$3=2,D221,"N/A")))</f>
        <v>0</v>
      </c>
      <c r="F221" s="106" t="n">
        <f aca="false">E221*Y221</f>
        <v>0</v>
      </c>
      <c r="G221" s="118" t="n">
        <f aca="false">VLOOKUP($A221,Table,MATCH(G$4,Curves,0))</f>
        <v>3</v>
      </c>
      <c r="H221" s="119" t="n">
        <f aca="false">G221+$H$7</f>
        <v>3</v>
      </c>
      <c r="I221" s="118" t="n">
        <f aca="false">'Inputs-Summary'!$B$16</f>
        <v>1.85</v>
      </c>
      <c r="J221" s="118" t="n">
        <f aca="false">VLOOKUP($A221,Table,MATCH(J$4,Curves,0))</f>
        <v>5</v>
      </c>
      <c r="K221" s="119" t="n">
        <f aca="false">J221+$K$7</f>
        <v>5</v>
      </c>
      <c r="L221" s="120" t="n">
        <f aca="false">K221</f>
        <v>5</v>
      </c>
      <c r="M221" s="118" t="n">
        <f aca="false">VLOOKUP($A221,Table,MATCH(M$4,Curves,0))</f>
        <v>5</v>
      </c>
      <c r="N221" s="119" t="n">
        <f aca="false">M221+$N$7</f>
        <v>5</v>
      </c>
      <c r="O221" s="120" t="n">
        <f aca="false">N221</f>
        <v>5</v>
      </c>
      <c r="P221" s="109"/>
      <c r="Q221" s="120" t="n">
        <f aca="false">IF($F$3=1,M221+J221+G221,J221+G221)</f>
        <v>8</v>
      </c>
      <c r="R221" s="120" t="n">
        <f aca="false">IF($F$3=1,N221+K221+H221,K221+H221)</f>
        <v>8</v>
      </c>
      <c r="S221" s="120" t="n">
        <f aca="false">IF($F$3=1,O221+L221+I221,L221+I221)</f>
        <v>6.85</v>
      </c>
      <c r="T221" s="121"/>
      <c r="U221" s="67" t="n">
        <f aca="false">A222-A221</f>
        <v>31</v>
      </c>
      <c r="V221" s="122" t="n">
        <f aca="false">CHOOSE(F$3,A222+24,A221)</f>
        <v>43678</v>
      </c>
      <c r="W221" s="67" t="n">
        <f aca="false">V221-C$3</f>
        <v>-2248</v>
      </c>
      <c r="X221" s="118" t="n">
        <f aca="false">VLOOKUP($A221,Table,MATCH(X$4,Curves,0))</f>
        <v>2</v>
      </c>
      <c r="Y221" s="123" t="n">
        <f aca="false">1/(1+CHOOSE(F$3,(X222+($K$3/10000))/2,(X221+($K$3/10000))/2))^(2*W221/365.25)</f>
        <v>5075.6509328187</v>
      </c>
      <c r="Z221" s="67" t="n">
        <f aca="false">IF(AND(mthbeg&lt;=A221,mthend&gt;=A221),1,0)</f>
        <v>0</v>
      </c>
      <c r="AA221" s="67" t="n">
        <f aca="false">U221*Z221</f>
        <v>0</v>
      </c>
      <c r="AC221" s="110" t="n">
        <f aca="false">F221*(H221-I221)</f>
        <v>0</v>
      </c>
      <c r="AD221" s="49"/>
      <c r="AE221" s="124"/>
    </row>
    <row r="222" customFormat="false" ht="12" hidden="false" customHeight="true" outlineLevel="0" collapsed="false">
      <c r="A222" s="115" t="n">
        <f aca="false">EDATE(A221,1)</f>
        <v>43709</v>
      </c>
      <c r="B222" s="116" t="n">
        <f aca="false">'Inputs-Summary'!$B$7</f>
        <v>3017157.21662952</v>
      </c>
      <c r="C222" s="57"/>
      <c r="D222" s="117" t="n">
        <f aca="false">B222+C222</f>
        <v>3017157.21662952</v>
      </c>
      <c r="E222" s="106" t="n">
        <f aca="false">IF(Z222=0,0,IF(AND(Z222=1,$H$3=1),D222*U222,IF($H$3=2,D222,"N/A")))</f>
        <v>0</v>
      </c>
      <c r="F222" s="106" t="n">
        <f aca="false">E222*Y222</f>
        <v>0</v>
      </c>
      <c r="G222" s="118" t="n">
        <f aca="false">VLOOKUP($A222,Table,MATCH(G$4,Curves,0))</f>
        <v>3</v>
      </c>
      <c r="H222" s="119" t="n">
        <f aca="false">G222+$H$7</f>
        <v>3</v>
      </c>
      <c r="I222" s="118" t="n">
        <f aca="false">'Inputs-Summary'!$B$16</f>
        <v>1.85</v>
      </c>
      <c r="J222" s="118" t="n">
        <f aca="false">VLOOKUP($A222,Table,MATCH(J$4,Curves,0))</f>
        <v>5</v>
      </c>
      <c r="K222" s="119" t="n">
        <f aca="false">J222+$K$7</f>
        <v>5</v>
      </c>
      <c r="L222" s="120" t="n">
        <f aca="false">K222</f>
        <v>5</v>
      </c>
      <c r="M222" s="118" t="n">
        <f aca="false">VLOOKUP($A222,Table,MATCH(M$4,Curves,0))</f>
        <v>5</v>
      </c>
      <c r="N222" s="119" t="n">
        <f aca="false">M222+$N$7</f>
        <v>5</v>
      </c>
      <c r="O222" s="120" t="n">
        <f aca="false">N222</f>
        <v>5</v>
      </c>
      <c r="P222" s="109"/>
      <c r="Q222" s="120" t="n">
        <f aca="false">IF($F$3=1,M222+J222+G222,J222+G222)</f>
        <v>8</v>
      </c>
      <c r="R222" s="120" t="n">
        <f aca="false">IF($F$3=1,N222+K222+H222,K222+H222)</f>
        <v>8</v>
      </c>
      <c r="S222" s="120" t="n">
        <f aca="false">IF($F$3=1,O222+L222+I222,L222+I222)</f>
        <v>6.85</v>
      </c>
      <c r="T222" s="121"/>
      <c r="U222" s="67" t="n">
        <f aca="false">A223-A222</f>
        <v>30</v>
      </c>
      <c r="V222" s="122" t="n">
        <f aca="false">CHOOSE(F$3,A223+24,A222)</f>
        <v>43709</v>
      </c>
      <c r="W222" s="67" t="n">
        <f aca="false">V222-C$3</f>
        <v>-2217</v>
      </c>
      <c r="X222" s="118" t="n">
        <f aca="false">VLOOKUP($A222,Table,MATCH(X$4,Curves,0))</f>
        <v>2</v>
      </c>
      <c r="Y222" s="123" t="n">
        <f aca="false">1/(1+CHOOSE(F$3,(X223+($K$3/10000))/2,(X222+($K$3/10000))/2))^(2*W222/365.25)</f>
        <v>4512.247195744</v>
      </c>
      <c r="Z222" s="67" t="n">
        <f aca="false">IF(AND(mthbeg&lt;=A222,mthend&gt;=A222),1,0)</f>
        <v>0</v>
      </c>
      <c r="AA222" s="67" t="n">
        <f aca="false">U222*Z222</f>
        <v>0</v>
      </c>
      <c r="AC222" s="110" t="n">
        <f aca="false">F222*(H222-I222)</f>
        <v>0</v>
      </c>
      <c r="AD222" s="49"/>
      <c r="AE222" s="124"/>
    </row>
    <row r="223" customFormat="false" ht="12" hidden="false" customHeight="true" outlineLevel="0" collapsed="false">
      <c r="A223" s="115" t="n">
        <f aca="false">EDATE(A222,1)</f>
        <v>43739</v>
      </c>
      <c r="B223" s="116" t="n">
        <f aca="false">'Inputs-Summary'!$B$7</f>
        <v>3017157.21662952</v>
      </c>
      <c r="C223" s="57"/>
      <c r="D223" s="117" t="n">
        <f aca="false">B223+C223</f>
        <v>3017157.21662952</v>
      </c>
      <c r="E223" s="106" t="n">
        <f aca="false">IF(Z223=0,0,IF(AND(Z223=1,$H$3=1),D223*U223,IF($H$3=2,D223,"N/A")))</f>
        <v>0</v>
      </c>
      <c r="F223" s="106" t="n">
        <f aca="false">E223*Y223</f>
        <v>0</v>
      </c>
      <c r="G223" s="118" t="n">
        <f aca="false">VLOOKUP($A223,Table,MATCH(G$4,Curves,0))</f>
        <v>3</v>
      </c>
      <c r="H223" s="119" t="n">
        <f aca="false">G223+$H$7</f>
        <v>3</v>
      </c>
      <c r="I223" s="118" t="n">
        <f aca="false">'Inputs-Summary'!$B$16</f>
        <v>1.85</v>
      </c>
      <c r="J223" s="118" t="n">
        <f aca="false">VLOOKUP($A223,Table,MATCH(J$4,Curves,0))</f>
        <v>5</v>
      </c>
      <c r="K223" s="119" t="n">
        <f aca="false">J223+$K$7</f>
        <v>5</v>
      </c>
      <c r="L223" s="120" t="n">
        <f aca="false">K223</f>
        <v>5</v>
      </c>
      <c r="M223" s="118" t="n">
        <f aca="false">VLOOKUP($A223,Table,MATCH(M$4,Curves,0))</f>
        <v>5</v>
      </c>
      <c r="N223" s="119" t="n">
        <f aca="false">M223+$N$7</f>
        <v>5</v>
      </c>
      <c r="O223" s="120" t="n">
        <f aca="false">N223</f>
        <v>5</v>
      </c>
      <c r="P223" s="109"/>
      <c r="Q223" s="120" t="n">
        <f aca="false">IF($F$3=1,M223+J223+G223,J223+G223)</f>
        <v>8</v>
      </c>
      <c r="R223" s="120" t="n">
        <f aca="false">IF($F$3=1,N223+K223+H223,K223+H223)</f>
        <v>8</v>
      </c>
      <c r="S223" s="120" t="n">
        <f aca="false">IF($F$3=1,O223+L223+I223,L223+I223)</f>
        <v>6.85</v>
      </c>
      <c r="T223" s="121"/>
      <c r="U223" s="67" t="n">
        <f aca="false">A224-A223</f>
        <v>31</v>
      </c>
      <c r="V223" s="122" t="n">
        <f aca="false">CHOOSE(F$3,A224+24,A223)</f>
        <v>43739</v>
      </c>
      <c r="W223" s="67" t="n">
        <f aca="false">V223-C$3</f>
        <v>-2187</v>
      </c>
      <c r="X223" s="118" t="n">
        <f aca="false">VLOOKUP($A223,Table,MATCH(X$4,Curves,0))</f>
        <v>2</v>
      </c>
      <c r="Y223" s="123" t="n">
        <f aca="false">1/(1+CHOOSE(F$3,(X224+($K$3/10000))/2,(X223+($K$3/10000))/2))^(2*W223/365.25)</f>
        <v>4026.63599128893</v>
      </c>
      <c r="Z223" s="67" t="n">
        <f aca="false">IF(AND(mthbeg&lt;=A223,mthend&gt;=A223),1,0)</f>
        <v>0</v>
      </c>
      <c r="AA223" s="67" t="n">
        <f aca="false">U223*Z223</f>
        <v>0</v>
      </c>
      <c r="AC223" s="110" t="n">
        <f aca="false">F223*(H223-I223)</f>
        <v>0</v>
      </c>
      <c r="AD223" s="49"/>
      <c r="AE223" s="124"/>
    </row>
    <row r="224" customFormat="false" ht="12" hidden="false" customHeight="true" outlineLevel="0" collapsed="false">
      <c r="A224" s="115" t="n">
        <f aca="false">EDATE(A223,1)</f>
        <v>43770</v>
      </c>
      <c r="B224" s="116" t="n">
        <f aca="false">'Inputs-Summary'!$B$7</f>
        <v>3017157.21662952</v>
      </c>
      <c r="C224" s="57"/>
      <c r="D224" s="117" t="n">
        <f aca="false">B224+C224</f>
        <v>3017157.21662952</v>
      </c>
      <c r="E224" s="106" t="n">
        <f aca="false">IF(Z224=0,0,IF(AND(Z224=1,$H$3=1),D224*U224,IF($H$3=2,D224,"N/A")))</f>
        <v>0</v>
      </c>
      <c r="F224" s="106" t="n">
        <f aca="false">E224*Y224</f>
        <v>0</v>
      </c>
      <c r="G224" s="118" t="n">
        <f aca="false">VLOOKUP($A224,Table,MATCH(G$4,Curves,0))</f>
        <v>3</v>
      </c>
      <c r="H224" s="119" t="n">
        <f aca="false">G224+$H$7</f>
        <v>3</v>
      </c>
      <c r="I224" s="118" t="n">
        <f aca="false">'Inputs-Summary'!$B$16</f>
        <v>1.85</v>
      </c>
      <c r="J224" s="118" t="n">
        <f aca="false">VLOOKUP($A224,Table,MATCH(J$4,Curves,0))</f>
        <v>5</v>
      </c>
      <c r="K224" s="119" t="n">
        <f aca="false">J224+$K$7</f>
        <v>5</v>
      </c>
      <c r="L224" s="120" t="n">
        <f aca="false">K224</f>
        <v>5</v>
      </c>
      <c r="M224" s="118" t="n">
        <f aca="false">VLOOKUP($A224,Table,MATCH(M$4,Curves,0))</f>
        <v>5</v>
      </c>
      <c r="N224" s="119" t="n">
        <f aca="false">M224+$N$7</f>
        <v>5</v>
      </c>
      <c r="O224" s="120" t="n">
        <f aca="false">N224</f>
        <v>5</v>
      </c>
      <c r="P224" s="109"/>
      <c r="Q224" s="120" t="n">
        <f aca="false">IF($F$3=1,M224+J224+G224,J224+G224)</f>
        <v>8</v>
      </c>
      <c r="R224" s="120" t="n">
        <f aca="false">IF($F$3=1,N224+K224+H224,K224+H224)</f>
        <v>8</v>
      </c>
      <c r="S224" s="120" t="n">
        <f aca="false">IF($F$3=1,O224+L224+I224,L224+I224)</f>
        <v>6.85</v>
      </c>
      <c r="T224" s="121"/>
      <c r="U224" s="67" t="n">
        <f aca="false">A225-A224</f>
        <v>30</v>
      </c>
      <c r="V224" s="122" t="n">
        <f aca="false">CHOOSE(F$3,A225+24,A224)</f>
        <v>43770</v>
      </c>
      <c r="W224" s="67" t="n">
        <f aca="false">V224-C$3</f>
        <v>-2156</v>
      </c>
      <c r="X224" s="118" t="n">
        <f aca="false">VLOOKUP($A224,Table,MATCH(X$4,Curves,0))</f>
        <v>2</v>
      </c>
      <c r="Y224" s="123" t="n">
        <f aca="false">1/(1+CHOOSE(F$3,(X225+($K$3/10000))/2,(X224+($K$3/10000))/2))^(2*W224/365.25)</f>
        <v>3579.67425271408</v>
      </c>
      <c r="Z224" s="67" t="n">
        <f aca="false">IF(AND(mthbeg&lt;=A224,mthend&gt;=A224),1,0)</f>
        <v>0</v>
      </c>
      <c r="AA224" s="67" t="n">
        <f aca="false">U224*Z224</f>
        <v>0</v>
      </c>
      <c r="AC224" s="110" t="n">
        <f aca="false">F224*(H224-I224)</f>
        <v>0</v>
      </c>
      <c r="AD224" s="49"/>
      <c r="AE224" s="124"/>
    </row>
    <row r="225" customFormat="false" ht="12" hidden="false" customHeight="true" outlineLevel="0" collapsed="false">
      <c r="A225" s="115" t="n">
        <f aca="false">EDATE(A224,1)</f>
        <v>43800</v>
      </c>
      <c r="B225" s="116" t="n">
        <f aca="false">'Inputs-Summary'!$B$7</f>
        <v>3017157.21662952</v>
      </c>
      <c r="C225" s="57"/>
      <c r="D225" s="117" t="n">
        <f aca="false">B225+C225</f>
        <v>3017157.21662952</v>
      </c>
      <c r="E225" s="106" t="n">
        <f aca="false">IF(Z225=0,0,IF(AND(Z225=1,$H$3=1),D225*U225,IF($H$3=2,D225,"N/A")))</f>
        <v>0</v>
      </c>
      <c r="F225" s="106" t="n">
        <f aca="false">E225*Y225</f>
        <v>0</v>
      </c>
      <c r="G225" s="118" t="n">
        <f aca="false">VLOOKUP($A225,Table,MATCH(G$4,Curves,0))</f>
        <v>3</v>
      </c>
      <c r="H225" s="119" t="n">
        <f aca="false">G225+$H$7</f>
        <v>3</v>
      </c>
      <c r="I225" s="118" t="n">
        <f aca="false">'Inputs-Summary'!$B$16</f>
        <v>1.85</v>
      </c>
      <c r="J225" s="118" t="n">
        <f aca="false">VLOOKUP($A225,Table,MATCH(J$4,Curves,0))</f>
        <v>5</v>
      </c>
      <c r="K225" s="119" t="n">
        <f aca="false">J225+$K$7</f>
        <v>5</v>
      </c>
      <c r="L225" s="120" t="n">
        <f aca="false">K225</f>
        <v>5</v>
      </c>
      <c r="M225" s="118" t="n">
        <f aca="false">VLOOKUP($A225,Table,MATCH(M$4,Curves,0))</f>
        <v>5</v>
      </c>
      <c r="N225" s="119" t="n">
        <f aca="false">M225+$N$7</f>
        <v>5</v>
      </c>
      <c r="O225" s="120" t="n">
        <f aca="false">N225</f>
        <v>5</v>
      </c>
      <c r="P225" s="109"/>
      <c r="Q225" s="120" t="n">
        <f aca="false">IF($F$3=1,M225+J225+G225,J225+G225)</f>
        <v>8</v>
      </c>
      <c r="R225" s="120" t="n">
        <f aca="false">IF($F$3=1,N225+K225+H225,K225+H225)</f>
        <v>8</v>
      </c>
      <c r="S225" s="120" t="n">
        <f aca="false">IF($F$3=1,O225+L225+I225,L225+I225)</f>
        <v>6.85</v>
      </c>
      <c r="T225" s="121"/>
      <c r="U225" s="67" t="n">
        <f aca="false">A226-A225</f>
        <v>31</v>
      </c>
      <c r="V225" s="122" t="n">
        <f aca="false">CHOOSE(F$3,A226+24,A225)</f>
        <v>43800</v>
      </c>
      <c r="W225" s="67" t="n">
        <f aca="false">V225-C$3</f>
        <v>-2126</v>
      </c>
      <c r="X225" s="118" t="n">
        <f aca="false">VLOOKUP($A225,Table,MATCH(X$4,Curves,0))</f>
        <v>2</v>
      </c>
      <c r="Y225" s="123" t="n">
        <f aca="false">1/(1+CHOOSE(F$3,(X226+($K$3/10000))/2,(X225+($K$3/10000))/2))^(2*W225/365.25)</f>
        <v>3194.42720174203</v>
      </c>
      <c r="Z225" s="67" t="n">
        <f aca="false">IF(AND(mthbeg&lt;=A225,mthend&gt;=A225),1,0)</f>
        <v>0</v>
      </c>
      <c r="AA225" s="67" t="n">
        <f aca="false">U225*Z225</f>
        <v>0</v>
      </c>
      <c r="AC225" s="110" t="n">
        <f aca="false">F225*(H225-I225)</f>
        <v>0</v>
      </c>
      <c r="AD225" s="49"/>
      <c r="AE225" s="124"/>
    </row>
    <row r="226" customFormat="false" ht="12" hidden="false" customHeight="true" outlineLevel="0" collapsed="false">
      <c r="A226" s="115" t="n">
        <f aca="false">EDATE(A225,1)</f>
        <v>43831</v>
      </c>
      <c r="B226" s="116" t="n">
        <f aca="false">'Inputs-Summary'!$B$7</f>
        <v>3017157.21662952</v>
      </c>
      <c r="C226" s="57"/>
      <c r="D226" s="117" t="n">
        <f aca="false">B226+C226</f>
        <v>3017157.21662952</v>
      </c>
      <c r="E226" s="106" t="n">
        <f aca="false">IF(Z226=0,0,IF(AND(Z226=1,$H$3=1),D226*U226,IF($H$3=2,D226,"N/A")))</f>
        <v>0</v>
      </c>
      <c r="F226" s="106" t="n">
        <f aca="false">E226*Y226</f>
        <v>0</v>
      </c>
      <c r="G226" s="118" t="n">
        <f aca="false">VLOOKUP($A226,Table,MATCH(G$4,Curves,0))</f>
        <v>3</v>
      </c>
      <c r="H226" s="119" t="n">
        <f aca="false">G226+$H$7</f>
        <v>3</v>
      </c>
      <c r="I226" s="118" t="n">
        <f aca="false">'Inputs-Summary'!$B$16</f>
        <v>1.85</v>
      </c>
      <c r="J226" s="118" t="n">
        <f aca="false">VLOOKUP($A226,Table,MATCH(J$4,Curves,0))</f>
        <v>5</v>
      </c>
      <c r="K226" s="119" t="n">
        <f aca="false">J226+$K$7</f>
        <v>5</v>
      </c>
      <c r="L226" s="120" t="n">
        <f aca="false">K226</f>
        <v>5</v>
      </c>
      <c r="M226" s="118" t="n">
        <f aca="false">VLOOKUP($A226,Table,MATCH(M$4,Curves,0))</f>
        <v>5</v>
      </c>
      <c r="N226" s="119" t="n">
        <f aca="false">M226+$N$7</f>
        <v>5</v>
      </c>
      <c r="O226" s="120" t="n">
        <f aca="false">N226</f>
        <v>5</v>
      </c>
      <c r="P226" s="109"/>
      <c r="Q226" s="120" t="n">
        <f aca="false">IF($F$3=1,M226+J226+G226,J226+G226)</f>
        <v>8</v>
      </c>
      <c r="R226" s="120" t="n">
        <f aca="false">IF($F$3=1,N226+K226+H226,K226+H226)</f>
        <v>8</v>
      </c>
      <c r="S226" s="120" t="n">
        <f aca="false">IF($F$3=1,O226+L226+I226,L226+I226)</f>
        <v>6.85</v>
      </c>
      <c r="T226" s="121"/>
      <c r="U226" s="67" t="n">
        <f aca="false">A227-A226</f>
        <v>31</v>
      </c>
      <c r="V226" s="122" t="n">
        <f aca="false">CHOOSE(F$3,A227+24,A226)</f>
        <v>43831</v>
      </c>
      <c r="W226" s="67" t="n">
        <f aca="false">V226-C$3</f>
        <v>-2095</v>
      </c>
      <c r="X226" s="118" t="n">
        <f aca="false">VLOOKUP($A226,Table,MATCH(X$4,Curves,0))</f>
        <v>2</v>
      </c>
      <c r="Y226" s="123" t="n">
        <f aca="false">1/(1+CHOOSE(F$3,(X227+($K$3/10000))/2,(X226+($K$3/10000))/2))^(2*W226/365.25)</f>
        <v>2839.84170185324</v>
      </c>
      <c r="Z226" s="67" t="n">
        <f aca="false">IF(AND(mthbeg&lt;=A226,mthend&gt;=A226),1,0)</f>
        <v>0</v>
      </c>
      <c r="AA226" s="67" t="n">
        <f aca="false">U226*Z226</f>
        <v>0</v>
      </c>
      <c r="AC226" s="110" t="n">
        <f aca="false">F226*(H226-I226)</f>
        <v>0</v>
      </c>
      <c r="AD226" s="49"/>
      <c r="AE226" s="124"/>
    </row>
    <row r="227" customFormat="false" ht="12" hidden="false" customHeight="true" outlineLevel="0" collapsed="false">
      <c r="A227" s="115" t="n">
        <f aca="false">EDATE(A226,1)</f>
        <v>43862</v>
      </c>
      <c r="B227" s="116" t="n">
        <f aca="false">'Inputs-Summary'!$B$7</f>
        <v>3017157.21662952</v>
      </c>
      <c r="C227" s="57"/>
      <c r="D227" s="117" t="n">
        <f aca="false">B227+C227</f>
        <v>3017157.21662952</v>
      </c>
      <c r="E227" s="106" t="n">
        <f aca="false">IF(Z227=0,0,IF(AND(Z227=1,$H$3=1),D227*U227,IF($H$3=2,D227,"N/A")))</f>
        <v>0</v>
      </c>
      <c r="F227" s="106" t="n">
        <f aca="false">E227*Y227</f>
        <v>0</v>
      </c>
      <c r="G227" s="118" t="n">
        <f aca="false">VLOOKUP($A227,Table,MATCH(G$4,Curves,0))</f>
        <v>3</v>
      </c>
      <c r="H227" s="119" t="n">
        <f aca="false">G227+$H$7</f>
        <v>3</v>
      </c>
      <c r="I227" s="118" t="n">
        <f aca="false">'Inputs-Summary'!$B$16</f>
        <v>1.85</v>
      </c>
      <c r="J227" s="118" t="n">
        <f aca="false">VLOOKUP($A227,Table,MATCH(J$4,Curves,0))</f>
        <v>5</v>
      </c>
      <c r="K227" s="119" t="n">
        <f aca="false">J227+$K$7</f>
        <v>5</v>
      </c>
      <c r="L227" s="120" t="n">
        <f aca="false">K227</f>
        <v>5</v>
      </c>
      <c r="M227" s="118" t="n">
        <f aca="false">VLOOKUP($A227,Table,MATCH(M$4,Curves,0))</f>
        <v>5</v>
      </c>
      <c r="N227" s="119" t="n">
        <f aca="false">M227+$N$7</f>
        <v>5</v>
      </c>
      <c r="O227" s="120" t="n">
        <f aca="false">N227</f>
        <v>5</v>
      </c>
      <c r="P227" s="109"/>
      <c r="Q227" s="120" t="n">
        <f aca="false">IF($F$3=1,M227+J227+G227,J227+G227)</f>
        <v>8</v>
      </c>
      <c r="R227" s="120" t="n">
        <f aca="false">IF($F$3=1,N227+K227+H227,K227+H227)</f>
        <v>8</v>
      </c>
      <c r="S227" s="120" t="n">
        <f aca="false">IF($F$3=1,O227+L227+I227,L227+I227)</f>
        <v>6.85</v>
      </c>
      <c r="T227" s="121"/>
      <c r="U227" s="67" t="n">
        <f aca="false">A228-A227</f>
        <v>29</v>
      </c>
      <c r="V227" s="122" t="n">
        <f aca="false">CHOOSE(F$3,A228+24,A227)</f>
        <v>43862</v>
      </c>
      <c r="W227" s="67" t="n">
        <f aca="false">V227-C$3</f>
        <v>-2064</v>
      </c>
      <c r="X227" s="118" t="n">
        <f aca="false">VLOOKUP($A227,Table,MATCH(X$4,Curves,0))</f>
        <v>2</v>
      </c>
      <c r="Y227" s="123" t="n">
        <f aca="false">1/(1+CHOOSE(F$3,(X228+($K$3/10000))/2,(X227+($K$3/10000))/2))^(2*W227/365.25)</f>
        <v>2524.6156453923</v>
      </c>
      <c r="Z227" s="67" t="n">
        <f aca="false">IF(AND(mthbeg&lt;=A227,mthend&gt;=A227),1,0)</f>
        <v>0</v>
      </c>
      <c r="AA227" s="67" t="n">
        <f aca="false">U227*Z227</f>
        <v>0</v>
      </c>
      <c r="AC227" s="110" t="n">
        <f aca="false">F227*(H227-I227)</f>
        <v>0</v>
      </c>
      <c r="AD227" s="49"/>
      <c r="AE227" s="124"/>
    </row>
    <row r="228" customFormat="false" ht="12" hidden="false" customHeight="true" outlineLevel="0" collapsed="false">
      <c r="A228" s="115" t="n">
        <f aca="false">EDATE(A227,1)</f>
        <v>43891</v>
      </c>
      <c r="B228" s="116" t="n">
        <f aca="false">'Inputs-Summary'!$B$7</f>
        <v>3017157.21662952</v>
      </c>
      <c r="C228" s="57"/>
      <c r="D228" s="117" t="n">
        <f aca="false">B228+C228</f>
        <v>3017157.21662952</v>
      </c>
      <c r="E228" s="106" t="n">
        <f aca="false">IF(Z228=0,0,IF(AND(Z228=1,$H$3=1),D228*U228,IF($H$3=2,D228,"N/A")))</f>
        <v>0</v>
      </c>
      <c r="F228" s="106" t="n">
        <f aca="false">E228*Y228</f>
        <v>0</v>
      </c>
      <c r="G228" s="118" t="n">
        <f aca="false">VLOOKUP($A228,Table,MATCH(G$4,Curves,0))</f>
        <v>3</v>
      </c>
      <c r="H228" s="119" t="n">
        <f aca="false">G228+$H$7</f>
        <v>3</v>
      </c>
      <c r="I228" s="118" t="n">
        <f aca="false">'Inputs-Summary'!$B$16</f>
        <v>1.85</v>
      </c>
      <c r="J228" s="118" t="n">
        <f aca="false">VLOOKUP($A228,Table,MATCH(J$4,Curves,0))</f>
        <v>5</v>
      </c>
      <c r="K228" s="119" t="n">
        <f aca="false">J228+$K$7</f>
        <v>5</v>
      </c>
      <c r="L228" s="120" t="n">
        <f aca="false">K228</f>
        <v>5</v>
      </c>
      <c r="M228" s="118" t="n">
        <f aca="false">VLOOKUP($A228,Table,MATCH(M$4,Curves,0))</f>
        <v>5</v>
      </c>
      <c r="N228" s="119" t="n">
        <f aca="false">M228+$N$7</f>
        <v>5</v>
      </c>
      <c r="O228" s="120" t="n">
        <f aca="false">N228</f>
        <v>5</v>
      </c>
      <c r="P228" s="109"/>
      <c r="Q228" s="120" t="n">
        <f aca="false">IF($F$3=1,M228+J228+G228,J228+G228)</f>
        <v>8</v>
      </c>
      <c r="R228" s="120" t="n">
        <f aca="false">IF($F$3=1,N228+K228+H228,K228+H228)</f>
        <v>8</v>
      </c>
      <c r="S228" s="120" t="n">
        <f aca="false">IF($F$3=1,O228+L228+I228,L228+I228)</f>
        <v>6.85</v>
      </c>
      <c r="T228" s="121"/>
      <c r="U228" s="67" t="n">
        <f aca="false">A229-A228</f>
        <v>31</v>
      </c>
      <c r="V228" s="122" t="n">
        <f aca="false">CHOOSE(F$3,A229+24,A228)</f>
        <v>43891</v>
      </c>
      <c r="W228" s="67" t="n">
        <f aca="false">V228-C$3</f>
        <v>-2035</v>
      </c>
      <c r="X228" s="118" t="n">
        <f aca="false">VLOOKUP($A228,Table,MATCH(X$4,Curves,0))</f>
        <v>2</v>
      </c>
      <c r="Y228" s="123" t="n">
        <f aca="false">1/(1+CHOOSE(F$3,(X229+($K$3/10000))/2,(X228+($K$3/10000))/2))^(2*W228/365.25)</f>
        <v>2261.48185251338</v>
      </c>
      <c r="Z228" s="67" t="n">
        <f aca="false">IF(AND(mthbeg&lt;=A228,mthend&gt;=A228),1,0)</f>
        <v>0</v>
      </c>
      <c r="AA228" s="67" t="n">
        <f aca="false">U228*Z228</f>
        <v>0</v>
      </c>
      <c r="AC228" s="110" t="n">
        <f aca="false">F228*(H228-I228)</f>
        <v>0</v>
      </c>
      <c r="AD228" s="49"/>
      <c r="AE228" s="124"/>
    </row>
    <row r="229" customFormat="false" ht="12" hidden="false" customHeight="true" outlineLevel="0" collapsed="false">
      <c r="A229" s="115" t="n">
        <f aca="false">EDATE(A228,1)</f>
        <v>43922</v>
      </c>
      <c r="B229" s="116" t="n">
        <f aca="false">'Inputs-Summary'!$B$7</f>
        <v>3017157.21662952</v>
      </c>
      <c r="C229" s="57"/>
      <c r="D229" s="117" t="n">
        <f aca="false">B229+C229</f>
        <v>3017157.21662952</v>
      </c>
      <c r="E229" s="106" t="n">
        <f aca="false">IF(Z229=0,0,IF(AND(Z229=1,$H$3=1),D229*U229,IF($H$3=2,D229,"N/A")))</f>
        <v>0</v>
      </c>
      <c r="F229" s="106" t="n">
        <f aca="false">E229*Y229</f>
        <v>0</v>
      </c>
      <c r="G229" s="118" t="n">
        <f aca="false">VLOOKUP($A229,Table,MATCH(G$4,Curves,0))</f>
        <v>3</v>
      </c>
      <c r="H229" s="119" t="n">
        <f aca="false">G229+$H$7</f>
        <v>3</v>
      </c>
      <c r="I229" s="118" t="n">
        <f aca="false">'Inputs-Summary'!$B$16</f>
        <v>1.85</v>
      </c>
      <c r="J229" s="118" t="n">
        <f aca="false">VLOOKUP($A229,Table,MATCH(J$4,Curves,0))</f>
        <v>5</v>
      </c>
      <c r="K229" s="119" t="n">
        <f aca="false">J229+$K$7</f>
        <v>5</v>
      </c>
      <c r="L229" s="120" t="n">
        <f aca="false">K229</f>
        <v>5</v>
      </c>
      <c r="M229" s="118" t="n">
        <f aca="false">VLOOKUP($A229,Table,MATCH(M$4,Curves,0))</f>
        <v>5</v>
      </c>
      <c r="N229" s="119" t="n">
        <f aca="false">M229+$N$7</f>
        <v>5</v>
      </c>
      <c r="O229" s="120" t="n">
        <f aca="false">N229</f>
        <v>5</v>
      </c>
      <c r="P229" s="109"/>
      <c r="Q229" s="120" t="n">
        <f aca="false">IF($F$3=1,M229+J229+G229,J229+G229)</f>
        <v>8</v>
      </c>
      <c r="R229" s="120" t="n">
        <f aca="false">IF($F$3=1,N229+K229+H229,K229+H229)</f>
        <v>8</v>
      </c>
      <c r="S229" s="120" t="n">
        <f aca="false">IF($F$3=1,O229+L229+I229,L229+I229)</f>
        <v>6.85</v>
      </c>
      <c r="T229" s="121"/>
      <c r="U229" s="67" t="n">
        <f aca="false">A230-A229</f>
        <v>30</v>
      </c>
      <c r="V229" s="122" t="n">
        <f aca="false">CHOOSE(F$3,A230+24,A229)</f>
        <v>43922</v>
      </c>
      <c r="W229" s="67" t="n">
        <f aca="false">V229-C$3</f>
        <v>-2004</v>
      </c>
      <c r="X229" s="118" t="n">
        <f aca="false">VLOOKUP($A229,Table,MATCH(X$4,Curves,0))</f>
        <v>2</v>
      </c>
      <c r="Y229" s="123" t="n">
        <f aca="false">1/(1+CHOOSE(F$3,(X230+($K$3/10000))/2,(X229+($K$3/10000))/2))^(2*W229/365.25)</f>
        <v>2010.45447811411</v>
      </c>
      <c r="Z229" s="67" t="n">
        <f aca="false">IF(AND(mthbeg&lt;=A229,mthend&gt;=A229),1,0)</f>
        <v>0</v>
      </c>
      <c r="AA229" s="67" t="n">
        <f aca="false">U229*Z229</f>
        <v>0</v>
      </c>
      <c r="AC229" s="110" t="n">
        <f aca="false">F229*(H229-I229)</f>
        <v>0</v>
      </c>
      <c r="AD229" s="49"/>
      <c r="AE229" s="124"/>
    </row>
    <row r="230" customFormat="false" ht="12" hidden="false" customHeight="true" outlineLevel="0" collapsed="false">
      <c r="A230" s="115" t="n">
        <f aca="false">EDATE(A229,1)</f>
        <v>43952</v>
      </c>
      <c r="B230" s="116" t="n">
        <f aca="false">'Inputs-Summary'!$B$7</f>
        <v>3017157.21662952</v>
      </c>
      <c r="C230" s="57"/>
      <c r="D230" s="117" t="n">
        <f aca="false">B230+C230</f>
        <v>3017157.21662952</v>
      </c>
      <c r="E230" s="106" t="n">
        <f aca="false">IF(Z230=0,0,IF(AND(Z230=1,$H$3=1),D230*U230,IF($H$3=2,D230,"N/A")))</f>
        <v>0</v>
      </c>
      <c r="F230" s="106" t="n">
        <f aca="false">E230*Y230</f>
        <v>0</v>
      </c>
      <c r="G230" s="118" t="n">
        <f aca="false">VLOOKUP($A230,Table,MATCH(G$4,Curves,0))</f>
        <v>3</v>
      </c>
      <c r="H230" s="119" t="n">
        <f aca="false">G230+$H$7</f>
        <v>3</v>
      </c>
      <c r="I230" s="118" t="n">
        <f aca="false">'Inputs-Summary'!$B$16</f>
        <v>1.85</v>
      </c>
      <c r="J230" s="118" t="n">
        <f aca="false">VLOOKUP($A230,Table,MATCH(J$4,Curves,0))</f>
        <v>5</v>
      </c>
      <c r="K230" s="119" t="n">
        <f aca="false">J230+$K$7</f>
        <v>5</v>
      </c>
      <c r="L230" s="120" t="n">
        <f aca="false">K230</f>
        <v>5</v>
      </c>
      <c r="M230" s="118" t="n">
        <f aca="false">VLOOKUP($A230,Table,MATCH(M$4,Curves,0))</f>
        <v>5</v>
      </c>
      <c r="N230" s="119" t="n">
        <f aca="false">M230+$N$7</f>
        <v>5</v>
      </c>
      <c r="O230" s="120" t="n">
        <f aca="false">N230</f>
        <v>5</v>
      </c>
      <c r="P230" s="109"/>
      <c r="Q230" s="120" t="n">
        <f aca="false">IF($F$3=1,M230+J230+G230,J230+G230)</f>
        <v>8</v>
      </c>
      <c r="R230" s="120" t="n">
        <f aca="false">IF($F$3=1,N230+K230+H230,K230+H230)</f>
        <v>8</v>
      </c>
      <c r="S230" s="120" t="n">
        <f aca="false">IF($F$3=1,O230+L230+I230,L230+I230)</f>
        <v>6.85</v>
      </c>
      <c r="T230" s="121"/>
      <c r="U230" s="67" t="n">
        <f aca="false">A231-A230</f>
        <v>31</v>
      </c>
      <c r="V230" s="122" t="n">
        <f aca="false">CHOOSE(F$3,A231+24,A230)</f>
        <v>43952</v>
      </c>
      <c r="W230" s="67" t="n">
        <f aca="false">V230-C$3</f>
        <v>-1974</v>
      </c>
      <c r="X230" s="118" t="n">
        <f aca="false">VLOOKUP($A230,Table,MATCH(X$4,Curves,0))</f>
        <v>2</v>
      </c>
      <c r="Y230" s="123" t="n">
        <f aca="false">1/(1+CHOOSE(F$3,(X231+($K$3/10000))/2,(X230+($K$3/10000))/2))^(2*W230/365.25)</f>
        <v>1794.087958669</v>
      </c>
      <c r="Z230" s="67" t="n">
        <f aca="false">IF(AND(mthbeg&lt;=A230,mthend&gt;=A230),1,0)</f>
        <v>0</v>
      </c>
      <c r="AA230" s="67" t="n">
        <f aca="false">U230*Z230</f>
        <v>0</v>
      </c>
      <c r="AC230" s="110" t="n">
        <f aca="false">F230*(H230-I230)</f>
        <v>0</v>
      </c>
      <c r="AD230" s="49"/>
      <c r="AE230" s="124"/>
    </row>
    <row r="231" customFormat="false" ht="12" hidden="false" customHeight="true" outlineLevel="0" collapsed="false">
      <c r="A231" s="115" t="n">
        <f aca="false">EDATE(A230,1)</f>
        <v>43983</v>
      </c>
      <c r="B231" s="116" t="n">
        <f aca="false">'Inputs-Summary'!$B$7</f>
        <v>3017157.21662952</v>
      </c>
      <c r="C231" s="57"/>
      <c r="D231" s="117" t="n">
        <f aca="false">B231+C231</f>
        <v>3017157.21662952</v>
      </c>
      <c r="E231" s="106" t="n">
        <f aca="false">IF(Z231=0,0,IF(AND(Z231=1,$H$3=1),D231*U231,IF($H$3=2,D231,"N/A")))</f>
        <v>0</v>
      </c>
      <c r="F231" s="106" t="n">
        <f aca="false">E231*Y231</f>
        <v>0</v>
      </c>
      <c r="G231" s="118" t="n">
        <f aca="false">VLOOKUP($A231,Table,MATCH(G$4,Curves,0))</f>
        <v>3</v>
      </c>
      <c r="H231" s="119" t="n">
        <f aca="false">G231+$H$7</f>
        <v>3</v>
      </c>
      <c r="I231" s="118" t="n">
        <f aca="false">'Inputs-Summary'!$B$16</f>
        <v>1.85</v>
      </c>
      <c r="J231" s="118" t="n">
        <f aca="false">VLOOKUP($A231,Table,MATCH(J$4,Curves,0))</f>
        <v>5</v>
      </c>
      <c r="K231" s="119" t="n">
        <f aca="false">J231+$K$7</f>
        <v>5</v>
      </c>
      <c r="L231" s="120" t="n">
        <f aca="false">K231</f>
        <v>5</v>
      </c>
      <c r="M231" s="118" t="n">
        <f aca="false">VLOOKUP($A231,Table,MATCH(M$4,Curves,0))</f>
        <v>5</v>
      </c>
      <c r="N231" s="119" t="n">
        <f aca="false">M231+$N$7</f>
        <v>5</v>
      </c>
      <c r="O231" s="120" t="n">
        <f aca="false">N231</f>
        <v>5</v>
      </c>
      <c r="P231" s="109"/>
      <c r="Q231" s="120" t="n">
        <f aca="false">IF($F$3=1,M231+J231+G231,J231+G231)</f>
        <v>8</v>
      </c>
      <c r="R231" s="120" t="n">
        <f aca="false">IF($F$3=1,N231+K231+H231,K231+H231)</f>
        <v>8</v>
      </c>
      <c r="S231" s="120" t="n">
        <f aca="false">IF($F$3=1,O231+L231+I231,L231+I231)</f>
        <v>6.85</v>
      </c>
      <c r="T231" s="121"/>
      <c r="U231" s="67" t="n">
        <f aca="false">A232-A231</f>
        <v>30</v>
      </c>
      <c r="V231" s="122" t="n">
        <f aca="false">CHOOSE(F$3,A232+24,A231)</f>
        <v>43983</v>
      </c>
      <c r="W231" s="67" t="n">
        <f aca="false">V231-C$3</f>
        <v>-1943</v>
      </c>
      <c r="X231" s="118" t="n">
        <f aca="false">VLOOKUP($A231,Table,MATCH(X$4,Curves,0))</f>
        <v>2</v>
      </c>
      <c r="Y231" s="123" t="n">
        <f aca="false">1/(1+CHOOSE(F$3,(X232+($K$3/10000))/2,(X231+($K$3/10000))/2))^(2*W231/365.25)</f>
        <v>1594.94190352578</v>
      </c>
      <c r="Z231" s="67" t="n">
        <f aca="false">IF(AND(mthbeg&lt;=A231,mthend&gt;=A231),1,0)</f>
        <v>0</v>
      </c>
      <c r="AA231" s="67" t="n">
        <f aca="false">U231*Z231</f>
        <v>0</v>
      </c>
      <c r="AC231" s="110" t="n">
        <f aca="false">F231*(H231-I231)</f>
        <v>0</v>
      </c>
      <c r="AD231" s="49"/>
      <c r="AE231" s="124"/>
    </row>
    <row r="232" customFormat="false" ht="12" hidden="false" customHeight="true" outlineLevel="0" collapsed="false">
      <c r="A232" s="115" t="n">
        <f aca="false">EDATE(A231,1)</f>
        <v>44013</v>
      </c>
      <c r="B232" s="116" t="n">
        <f aca="false">'Inputs-Summary'!$B$7</f>
        <v>3017157.21662952</v>
      </c>
      <c r="C232" s="57"/>
      <c r="D232" s="117" t="n">
        <f aca="false">B232+C232</f>
        <v>3017157.21662952</v>
      </c>
      <c r="E232" s="106" t="n">
        <f aca="false">IF(Z232=0,0,IF(AND(Z232=1,$H$3=1),D232*U232,IF($H$3=2,D232,"N/A")))</f>
        <v>0</v>
      </c>
      <c r="F232" s="106" t="n">
        <f aca="false">E232*Y232</f>
        <v>0</v>
      </c>
      <c r="G232" s="118" t="n">
        <f aca="false">VLOOKUP($A232,Table,MATCH(G$4,Curves,0))</f>
        <v>3</v>
      </c>
      <c r="H232" s="119" t="n">
        <f aca="false">G232+$H$7</f>
        <v>3</v>
      </c>
      <c r="I232" s="118" t="n">
        <f aca="false">'Inputs-Summary'!$B$16</f>
        <v>1.85</v>
      </c>
      <c r="J232" s="118" t="n">
        <f aca="false">VLOOKUP($A232,Table,MATCH(J$4,Curves,0))</f>
        <v>5</v>
      </c>
      <c r="K232" s="119" t="n">
        <f aca="false">J232+$K$7</f>
        <v>5</v>
      </c>
      <c r="L232" s="120" t="n">
        <f aca="false">K232</f>
        <v>5</v>
      </c>
      <c r="M232" s="118" t="n">
        <f aca="false">VLOOKUP($A232,Table,MATCH(M$4,Curves,0))</f>
        <v>5</v>
      </c>
      <c r="N232" s="119" t="n">
        <f aca="false">M232+$N$7</f>
        <v>5</v>
      </c>
      <c r="O232" s="120" t="n">
        <f aca="false">N232</f>
        <v>5</v>
      </c>
      <c r="P232" s="109"/>
      <c r="Q232" s="120" t="n">
        <f aca="false">IF($F$3=1,M232+J232+G232,J232+G232)</f>
        <v>8</v>
      </c>
      <c r="R232" s="120" t="n">
        <f aca="false">IF($F$3=1,N232+K232+H232,K232+H232)</f>
        <v>8</v>
      </c>
      <c r="S232" s="120" t="n">
        <f aca="false">IF($F$3=1,O232+L232+I232,L232+I232)</f>
        <v>6.85</v>
      </c>
      <c r="T232" s="121"/>
      <c r="U232" s="67" t="n">
        <f aca="false">A233-A232</f>
        <v>31</v>
      </c>
      <c r="V232" s="122" t="n">
        <f aca="false">CHOOSE(F$3,A233+24,A232)</f>
        <v>44013</v>
      </c>
      <c r="W232" s="67" t="n">
        <f aca="false">V232-C$3</f>
        <v>-1913</v>
      </c>
      <c r="X232" s="118" t="n">
        <f aca="false">VLOOKUP($A232,Table,MATCH(X$4,Curves,0))</f>
        <v>2</v>
      </c>
      <c r="Y232" s="123" t="n">
        <f aca="false">1/(1+CHOOSE(F$3,(X233+($K$3/10000))/2,(X232+($K$3/10000))/2))^(2*W232/365.25)</f>
        <v>1423.2931384631</v>
      </c>
      <c r="Z232" s="67" t="n">
        <f aca="false">IF(AND(mthbeg&lt;=A232,mthend&gt;=A232),1,0)</f>
        <v>0</v>
      </c>
      <c r="AA232" s="67" t="n">
        <f aca="false">U232*Z232</f>
        <v>0</v>
      </c>
      <c r="AC232" s="110" t="n">
        <f aca="false">F232*(H232-I232)</f>
        <v>0</v>
      </c>
      <c r="AD232" s="49"/>
      <c r="AE232" s="124"/>
    </row>
    <row r="233" customFormat="false" ht="12" hidden="false" customHeight="true" outlineLevel="0" collapsed="false">
      <c r="A233" s="115" t="n">
        <f aca="false">EDATE(A232,1)</f>
        <v>44044</v>
      </c>
      <c r="B233" s="116" t="n">
        <f aca="false">'Inputs-Summary'!$B$7</f>
        <v>3017157.21662952</v>
      </c>
      <c r="C233" s="57"/>
      <c r="D233" s="117" t="n">
        <f aca="false">B233+C233</f>
        <v>3017157.21662952</v>
      </c>
      <c r="E233" s="106" t="n">
        <f aca="false">IF(Z233=0,0,IF(AND(Z233=1,$H$3=1),D233*U233,IF($H$3=2,D233,"N/A")))</f>
        <v>0</v>
      </c>
      <c r="F233" s="106" t="n">
        <f aca="false">E233*Y233</f>
        <v>0</v>
      </c>
      <c r="G233" s="118" t="n">
        <f aca="false">VLOOKUP($A233,Table,MATCH(G$4,Curves,0))</f>
        <v>3</v>
      </c>
      <c r="H233" s="119" t="n">
        <f aca="false">G233+$H$7</f>
        <v>3</v>
      </c>
      <c r="I233" s="118" t="n">
        <f aca="false">'Inputs-Summary'!$B$16</f>
        <v>1.85</v>
      </c>
      <c r="J233" s="118" t="n">
        <f aca="false">VLOOKUP($A233,Table,MATCH(J$4,Curves,0))</f>
        <v>5</v>
      </c>
      <c r="K233" s="119" t="n">
        <f aca="false">J233+$K$7</f>
        <v>5</v>
      </c>
      <c r="L233" s="120" t="n">
        <f aca="false">K233</f>
        <v>5</v>
      </c>
      <c r="M233" s="118" t="n">
        <f aca="false">VLOOKUP($A233,Table,MATCH(M$4,Curves,0))</f>
        <v>5</v>
      </c>
      <c r="N233" s="119" t="n">
        <f aca="false">M233+$N$7</f>
        <v>5</v>
      </c>
      <c r="O233" s="120" t="n">
        <f aca="false">N233</f>
        <v>5</v>
      </c>
      <c r="P233" s="109"/>
      <c r="Q233" s="120" t="n">
        <f aca="false">IF($F$3=1,M233+J233+G233,J233+G233)</f>
        <v>8</v>
      </c>
      <c r="R233" s="120" t="n">
        <f aca="false">IF($F$3=1,N233+K233+H233,K233+H233)</f>
        <v>8</v>
      </c>
      <c r="S233" s="120" t="n">
        <f aca="false">IF($F$3=1,O233+L233+I233,L233+I233)</f>
        <v>6.85</v>
      </c>
      <c r="T233" s="121"/>
      <c r="U233" s="67" t="n">
        <f aca="false">A234-A233</f>
        <v>31</v>
      </c>
      <c r="V233" s="122" t="n">
        <f aca="false">CHOOSE(F$3,A234+24,A233)</f>
        <v>44044</v>
      </c>
      <c r="W233" s="67" t="n">
        <f aca="false">V233-C$3</f>
        <v>-1882</v>
      </c>
      <c r="X233" s="118" t="n">
        <f aca="false">VLOOKUP($A233,Table,MATCH(X$4,Curves,0))</f>
        <v>2</v>
      </c>
      <c r="Y233" s="123" t="n">
        <f aca="false">1/(1+CHOOSE(F$3,(X234+($K$3/10000))/2,(X233+($K$3/10000))/2))^(2*W233/365.25)</f>
        <v>1265.30578200839</v>
      </c>
      <c r="Z233" s="67" t="n">
        <f aca="false">IF(AND(mthbeg&lt;=A233,mthend&gt;=A233),1,0)</f>
        <v>0</v>
      </c>
      <c r="AA233" s="67" t="n">
        <f aca="false">U233*Z233</f>
        <v>0</v>
      </c>
      <c r="AC233" s="110" t="n">
        <f aca="false">F233*(H233-I233)</f>
        <v>0</v>
      </c>
      <c r="AD233" s="49"/>
      <c r="AE233" s="124"/>
    </row>
    <row r="234" customFormat="false" ht="12" hidden="false" customHeight="true" outlineLevel="0" collapsed="false">
      <c r="A234" s="115" t="n">
        <f aca="false">EDATE(A233,1)</f>
        <v>44075</v>
      </c>
      <c r="B234" s="116" t="n">
        <f aca="false">'Inputs-Summary'!$B$7</f>
        <v>3017157.21662952</v>
      </c>
      <c r="C234" s="57"/>
      <c r="D234" s="117" t="n">
        <f aca="false">B234+C234</f>
        <v>3017157.21662952</v>
      </c>
      <c r="E234" s="106" t="n">
        <f aca="false">IF(Z234=0,0,IF(AND(Z234=1,$H$3=1),D234*U234,IF($H$3=2,D234,"N/A")))</f>
        <v>0</v>
      </c>
      <c r="F234" s="106" t="n">
        <f aca="false">E234*Y234</f>
        <v>0</v>
      </c>
      <c r="G234" s="118" t="n">
        <f aca="false">VLOOKUP($A234,Table,MATCH(G$4,Curves,0))</f>
        <v>3</v>
      </c>
      <c r="H234" s="119" t="n">
        <f aca="false">G234+$H$7</f>
        <v>3</v>
      </c>
      <c r="I234" s="118" t="n">
        <f aca="false">'Inputs-Summary'!$B$16</f>
        <v>1.85</v>
      </c>
      <c r="J234" s="118" t="n">
        <f aca="false">VLOOKUP($A234,Table,MATCH(J$4,Curves,0))</f>
        <v>5</v>
      </c>
      <c r="K234" s="119" t="n">
        <f aca="false">J234+$K$7</f>
        <v>5</v>
      </c>
      <c r="L234" s="120" t="n">
        <f aca="false">K234</f>
        <v>5</v>
      </c>
      <c r="M234" s="118" t="n">
        <f aca="false">VLOOKUP($A234,Table,MATCH(M$4,Curves,0))</f>
        <v>5</v>
      </c>
      <c r="N234" s="119" t="n">
        <f aca="false">M234+$N$7</f>
        <v>5</v>
      </c>
      <c r="O234" s="120" t="n">
        <f aca="false">N234</f>
        <v>5</v>
      </c>
      <c r="P234" s="109"/>
      <c r="Q234" s="120" t="n">
        <f aca="false">IF($F$3=1,M234+J234+G234,J234+G234)</f>
        <v>8</v>
      </c>
      <c r="R234" s="120" t="n">
        <f aca="false">IF($F$3=1,N234+K234+H234,K234+H234)</f>
        <v>8</v>
      </c>
      <c r="S234" s="120" t="n">
        <f aca="false">IF($F$3=1,O234+L234+I234,L234+I234)</f>
        <v>6.85</v>
      </c>
      <c r="T234" s="121"/>
      <c r="U234" s="67" t="n">
        <f aca="false">A235-A234</f>
        <v>30</v>
      </c>
      <c r="V234" s="122" t="n">
        <f aca="false">CHOOSE(F$3,A235+24,A234)</f>
        <v>44075</v>
      </c>
      <c r="W234" s="67" t="n">
        <f aca="false">V234-C$3</f>
        <v>-1851</v>
      </c>
      <c r="X234" s="118" t="n">
        <f aca="false">VLOOKUP($A234,Table,MATCH(X$4,Curves,0))</f>
        <v>2</v>
      </c>
      <c r="Y234" s="123" t="n">
        <f aca="false">1/(1+CHOOSE(F$3,(X235+($K$3/10000))/2,(X234+($K$3/10000))/2))^(2*W234/365.25)</f>
        <v>1124.85522392995</v>
      </c>
      <c r="Z234" s="67" t="n">
        <f aca="false">IF(AND(mthbeg&lt;=A234,mthend&gt;=A234),1,0)</f>
        <v>0</v>
      </c>
      <c r="AA234" s="67" t="n">
        <f aca="false">U234*Z234</f>
        <v>0</v>
      </c>
      <c r="AC234" s="110" t="n">
        <f aca="false">F234*(H234-I234)</f>
        <v>0</v>
      </c>
      <c r="AD234" s="49"/>
      <c r="AE234" s="124"/>
    </row>
    <row r="235" customFormat="false" ht="12" hidden="false" customHeight="true" outlineLevel="0" collapsed="false">
      <c r="A235" s="115" t="n">
        <f aca="false">EDATE(A234,1)</f>
        <v>44105</v>
      </c>
      <c r="B235" s="116" t="n">
        <f aca="false">'Inputs-Summary'!$B$7</f>
        <v>3017157.21662952</v>
      </c>
      <c r="C235" s="57"/>
      <c r="D235" s="117" t="n">
        <f aca="false">B235+C235</f>
        <v>3017157.21662952</v>
      </c>
      <c r="E235" s="106" t="n">
        <f aca="false">IF(Z235=0,0,IF(AND(Z235=1,$H$3=1),D235*U235,IF($H$3=2,D235,"N/A")))</f>
        <v>0</v>
      </c>
      <c r="F235" s="106" t="n">
        <f aca="false">E235*Y235</f>
        <v>0</v>
      </c>
      <c r="G235" s="118" t="n">
        <f aca="false">VLOOKUP($A235,Table,MATCH(G$4,Curves,0))</f>
        <v>3</v>
      </c>
      <c r="H235" s="119" t="n">
        <f aca="false">G235+$H$7</f>
        <v>3</v>
      </c>
      <c r="I235" s="118" t="n">
        <f aca="false">'Inputs-Summary'!$B$16</f>
        <v>1.85</v>
      </c>
      <c r="J235" s="118" t="n">
        <f aca="false">VLOOKUP($A235,Table,MATCH(J$4,Curves,0))</f>
        <v>5</v>
      </c>
      <c r="K235" s="119" t="n">
        <f aca="false">J235+$K$7</f>
        <v>5</v>
      </c>
      <c r="L235" s="120" t="n">
        <f aca="false">K235</f>
        <v>5</v>
      </c>
      <c r="M235" s="118" t="n">
        <f aca="false">VLOOKUP($A235,Table,MATCH(M$4,Curves,0))</f>
        <v>5</v>
      </c>
      <c r="N235" s="119" t="n">
        <f aca="false">M235+$N$7</f>
        <v>5</v>
      </c>
      <c r="O235" s="120" t="n">
        <f aca="false">N235</f>
        <v>5</v>
      </c>
      <c r="P235" s="109"/>
      <c r="Q235" s="120" t="n">
        <f aca="false">IF($F$3=1,M235+J235+G235,J235+G235)</f>
        <v>8</v>
      </c>
      <c r="R235" s="120" t="n">
        <f aca="false">IF($F$3=1,N235+K235+H235,K235+H235)</f>
        <v>8</v>
      </c>
      <c r="S235" s="120" t="n">
        <f aca="false">IF($F$3=1,O235+L235+I235,L235+I235)</f>
        <v>6.85</v>
      </c>
      <c r="T235" s="121"/>
      <c r="U235" s="67" t="n">
        <f aca="false">A236-A235</f>
        <v>31</v>
      </c>
      <c r="V235" s="122" t="n">
        <f aca="false">CHOOSE(F$3,A236+24,A235)</f>
        <v>44105</v>
      </c>
      <c r="W235" s="67" t="n">
        <f aca="false">V235-C$3</f>
        <v>-1821</v>
      </c>
      <c r="X235" s="118" t="n">
        <f aca="false">VLOOKUP($A235,Table,MATCH(X$4,Curves,0))</f>
        <v>2</v>
      </c>
      <c r="Y235" s="123" t="n">
        <f aca="false">1/(1+CHOOSE(F$3,(X236+($K$3/10000))/2,(X235+($K$3/10000))/2))^(2*W235/365.25)</f>
        <v>1003.79751666484</v>
      </c>
      <c r="Z235" s="67" t="n">
        <f aca="false">IF(AND(mthbeg&lt;=A235,mthend&gt;=A235),1,0)</f>
        <v>0</v>
      </c>
      <c r="AA235" s="67" t="n">
        <f aca="false">U235*Z235</f>
        <v>0</v>
      </c>
      <c r="AC235" s="110" t="n">
        <f aca="false">F235*(H235-I235)</f>
        <v>0</v>
      </c>
      <c r="AD235" s="49"/>
      <c r="AE235" s="124"/>
    </row>
    <row r="236" customFormat="false" ht="12" hidden="false" customHeight="true" outlineLevel="0" collapsed="false">
      <c r="A236" s="115" t="n">
        <f aca="false">EDATE(A235,1)</f>
        <v>44136</v>
      </c>
      <c r="B236" s="116" t="n">
        <f aca="false">'Inputs-Summary'!$B$7</f>
        <v>3017157.21662952</v>
      </c>
      <c r="C236" s="57"/>
      <c r="D236" s="117" t="n">
        <f aca="false">B236+C236</f>
        <v>3017157.21662952</v>
      </c>
      <c r="E236" s="106" t="n">
        <f aca="false">IF(Z236=0,0,IF(AND(Z236=1,$H$3=1),D236*U236,IF($H$3=2,D236,"N/A")))</f>
        <v>0</v>
      </c>
      <c r="F236" s="106" t="n">
        <f aca="false">E236*Y236</f>
        <v>0</v>
      </c>
      <c r="G236" s="118" t="n">
        <f aca="false">VLOOKUP($A236,Table,MATCH(G$4,Curves,0))</f>
        <v>3</v>
      </c>
      <c r="H236" s="119" t="n">
        <f aca="false">G236+$H$7</f>
        <v>3</v>
      </c>
      <c r="I236" s="118" t="n">
        <f aca="false">'Inputs-Summary'!$B$16</f>
        <v>1.85</v>
      </c>
      <c r="J236" s="118" t="n">
        <f aca="false">VLOOKUP($A236,Table,MATCH(J$4,Curves,0))</f>
        <v>5</v>
      </c>
      <c r="K236" s="119" t="n">
        <f aca="false">J236+$K$7</f>
        <v>5</v>
      </c>
      <c r="L236" s="120" t="n">
        <f aca="false">K236</f>
        <v>5</v>
      </c>
      <c r="M236" s="118" t="n">
        <f aca="false">VLOOKUP($A236,Table,MATCH(M$4,Curves,0))</f>
        <v>5</v>
      </c>
      <c r="N236" s="119" t="n">
        <f aca="false">M236+$N$7</f>
        <v>5</v>
      </c>
      <c r="O236" s="120" t="n">
        <f aca="false">N236</f>
        <v>5</v>
      </c>
      <c r="P236" s="109"/>
      <c r="Q236" s="120" t="n">
        <f aca="false">IF($F$3=1,M236+J236+G236,J236+G236)</f>
        <v>8</v>
      </c>
      <c r="R236" s="120" t="n">
        <f aca="false">IF($F$3=1,N236+K236+H236,K236+H236)</f>
        <v>8</v>
      </c>
      <c r="S236" s="120" t="n">
        <f aca="false">IF($F$3=1,O236+L236+I236,L236+I236)</f>
        <v>6.85</v>
      </c>
      <c r="T236" s="121"/>
      <c r="U236" s="67" t="n">
        <f aca="false">A237-A236</f>
        <v>30</v>
      </c>
      <c r="V236" s="122" t="n">
        <f aca="false">CHOOSE(F$3,A237+24,A236)</f>
        <v>44136</v>
      </c>
      <c r="W236" s="67" t="n">
        <f aca="false">V236-C$3</f>
        <v>-1790</v>
      </c>
      <c r="X236" s="118" t="n">
        <f aca="false">VLOOKUP($A236,Table,MATCH(X$4,Curves,0))</f>
        <v>2</v>
      </c>
      <c r="Y236" s="123" t="n">
        <f aca="false">1/(1+CHOOSE(F$3,(X237+($K$3/10000))/2,(X236+($K$3/10000))/2))^(2*W236/365.25)</f>
        <v>892.374710084794</v>
      </c>
      <c r="Z236" s="67" t="n">
        <f aca="false">IF(AND(mthbeg&lt;=A236,mthend&gt;=A236),1,0)</f>
        <v>0</v>
      </c>
      <c r="AA236" s="67" t="n">
        <f aca="false">U236*Z236</f>
        <v>0</v>
      </c>
      <c r="AC236" s="110" t="n">
        <f aca="false">F236*(H236-I236)</f>
        <v>0</v>
      </c>
      <c r="AD236" s="49"/>
      <c r="AE236" s="124"/>
    </row>
    <row r="237" customFormat="false" ht="12" hidden="false" customHeight="true" outlineLevel="0" collapsed="false">
      <c r="A237" s="115" t="n">
        <f aca="false">EDATE(A236,1)</f>
        <v>44166</v>
      </c>
      <c r="B237" s="116" t="n">
        <f aca="false">'Inputs-Summary'!$B$7</f>
        <v>3017157.21662952</v>
      </c>
      <c r="C237" s="57"/>
      <c r="D237" s="117" t="n">
        <f aca="false">B237+C237</f>
        <v>3017157.21662952</v>
      </c>
      <c r="E237" s="106" t="n">
        <f aca="false">IF(Z237=0,0,IF(AND(Z237=1,$H$3=1),D237*U237,IF($H$3=2,D237,"N/A")))</f>
        <v>0</v>
      </c>
      <c r="F237" s="106" t="n">
        <f aca="false">E237*Y237</f>
        <v>0</v>
      </c>
      <c r="G237" s="118" t="n">
        <f aca="false">VLOOKUP($A237,Table,MATCH(G$4,Curves,0))</f>
        <v>3</v>
      </c>
      <c r="H237" s="119" t="n">
        <f aca="false">G237+$H$7</f>
        <v>3</v>
      </c>
      <c r="I237" s="118" t="n">
        <f aca="false">'Inputs-Summary'!$B$16</f>
        <v>1.85</v>
      </c>
      <c r="J237" s="118" t="n">
        <f aca="false">VLOOKUP($A237,Table,MATCH(J$4,Curves,0))</f>
        <v>5</v>
      </c>
      <c r="K237" s="119" t="n">
        <f aca="false">J237+$K$7</f>
        <v>5</v>
      </c>
      <c r="L237" s="120" t="n">
        <f aca="false">K237</f>
        <v>5</v>
      </c>
      <c r="M237" s="118" t="n">
        <f aca="false">VLOOKUP($A237,Table,MATCH(M$4,Curves,0))</f>
        <v>5</v>
      </c>
      <c r="N237" s="119" t="n">
        <f aca="false">M237+$N$7</f>
        <v>5</v>
      </c>
      <c r="O237" s="120" t="n">
        <f aca="false">N237</f>
        <v>5</v>
      </c>
      <c r="P237" s="109"/>
      <c r="Q237" s="120" t="n">
        <f aca="false">IF($F$3=1,M237+J237+G237,J237+G237)</f>
        <v>8</v>
      </c>
      <c r="R237" s="120" t="n">
        <f aca="false">IF($F$3=1,N237+K237+H237,K237+H237)</f>
        <v>8</v>
      </c>
      <c r="S237" s="120" t="n">
        <f aca="false">IF($F$3=1,O237+L237+I237,L237+I237)</f>
        <v>6.85</v>
      </c>
      <c r="T237" s="121"/>
      <c r="U237" s="67" t="n">
        <f aca="false">A238-A237</f>
        <v>31</v>
      </c>
      <c r="V237" s="122" t="n">
        <f aca="false">CHOOSE(F$3,A238+24,A237)</f>
        <v>44166</v>
      </c>
      <c r="W237" s="67" t="n">
        <f aca="false">V237-C$3</f>
        <v>-1760</v>
      </c>
      <c r="X237" s="118" t="n">
        <f aca="false">VLOOKUP($A237,Table,MATCH(X$4,Curves,0))</f>
        <v>2</v>
      </c>
      <c r="Y237" s="123" t="n">
        <f aca="false">1/(1+CHOOSE(F$3,(X238+($K$3/10000))/2,(X237+($K$3/10000))/2))^(2*W237/365.25)</f>
        <v>796.336718593934</v>
      </c>
      <c r="Z237" s="67" t="n">
        <f aca="false">IF(AND(mthbeg&lt;=A237,mthend&gt;=A237),1,0)</f>
        <v>0</v>
      </c>
      <c r="AA237" s="67" t="n">
        <f aca="false">U237*Z237</f>
        <v>0</v>
      </c>
      <c r="AC237" s="110" t="n">
        <f aca="false">F237*(H237-I237)</f>
        <v>0</v>
      </c>
      <c r="AD237" s="49"/>
      <c r="AE237" s="124"/>
    </row>
    <row r="238" customFormat="false" ht="12" hidden="false" customHeight="true" outlineLevel="0" collapsed="false">
      <c r="A238" s="115" t="n">
        <f aca="false">EDATE(A237,1)</f>
        <v>44197</v>
      </c>
      <c r="B238" s="116" t="n">
        <f aca="false">'Inputs-Summary'!$B$7</f>
        <v>3017157.21662952</v>
      </c>
      <c r="C238" s="57"/>
      <c r="D238" s="117" t="n">
        <f aca="false">B238+C238</f>
        <v>3017157.21662952</v>
      </c>
      <c r="E238" s="106" t="n">
        <f aca="false">IF(Z238=0,0,IF(AND(Z238=1,$H$3=1),D238*U238,IF($H$3=2,D238,"N/A")))</f>
        <v>0</v>
      </c>
      <c r="F238" s="106" t="n">
        <f aca="false">E238*Y238</f>
        <v>0</v>
      </c>
      <c r="G238" s="118" t="n">
        <f aca="false">VLOOKUP($A238,Table,MATCH(G$4,Curves,0))</f>
        <v>3</v>
      </c>
      <c r="H238" s="119" t="n">
        <f aca="false">G238+$H$7</f>
        <v>3</v>
      </c>
      <c r="I238" s="118" t="n">
        <f aca="false">'Inputs-Summary'!$B$16</f>
        <v>1.85</v>
      </c>
      <c r="J238" s="118" t="n">
        <f aca="false">VLOOKUP($A238,Table,MATCH(J$4,Curves,0))</f>
        <v>5</v>
      </c>
      <c r="K238" s="119" t="n">
        <f aca="false">J238+$K$7</f>
        <v>5</v>
      </c>
      <c r="L238" s="120" t="n">
        <f aca="false">K238</f>
        <v>5</v>
      </c>
      <c r="M238" s="118" t="n">
        <f aca="false">VLOOKUP($A238,Table,MATCH(M$4,Curves,0))</f>
        <v>5</v>
      </c>
      <c r="N238" s="119" t="n">
        <f aca="false">M238+$N$7</f>
        <v>5</v>
      </c>
      <c r="O238" s="120" t="n">
        <f aca="false">N238</f>
        <v>5</v>
      </c>
      <c r="P238" s="109"/>
      <c r="Q238" s="120" t="n">
        <f aca="false">IF($F$3=1,M238+J238+G238,J238+G238)</f>
        <v>8</v>
      </c>
      <c r="R238" s="120" t="n">
        <f aca="false">IF($F$3=1,N238+K238+H238,K238+H238)</f>
        <v>8</v>
      </c>
      <c r="S238" s="120" t="n">
        <f aca="false">IF($F$3=1,O238+L238+I238,L238+I238)</f>
        <v>6.85</v>
      </c>
      <c r="T238" s="121"/>
      <c r="U238" s="67" t="n">
        <f aca="false">A239-A238</f>
        <v>31</v>
      </c>
      <c r="V238" s="122" t="n">
        <f aca="false">CHOOSE(F$3,A239+24,A238)</f>
        <v>44197</v>
      </c>
      <c r="W238" s="67" t="n">
        <f aca="false">V238-C$3</f>
        <v>-1729</v>
      </c>
      <c r="X238" s="118" t="n">
        <f aca="false">VLOOKUP($A238,Table,MATCH(X$4,Curves,0))</f>
        <v>2</v>
      </c>
      <c r="Y238" s="123" t="n">
        <f aca="false">1/(1+CHOOSE(F$3,(X239+($K$3/10000))/2,(X238+($K$3/10000))/2))^(2*W238/365.25)</f>
        <v>707.942325605906</v>
      </c>
      <c r="Z238" s="67" t="n">
        <f aca="false">IF(AND(mthbeg&lt;=A238,mthend&gt;=A238),1,0)</f>
        <v>0</v>
      </c>
      <c r="AA238" s="67" t="n">
        <f aca="false">U238*Z238</f>
        <v>0</v>
      </c>
      <c r="AC238" s="110" t="n">
        <f aca="false">F238*(H238-I238)</f>
        <v>0</v>
      </c>
      <c r="AD238" s="49"/>
      <c r="AE238" s="124"/>
    </row>
    <row r="239" customFormat="false" ht="12" hidden="false" customHeight="true" outlineLevel="0" collapsed="false">
      <c r="A239" s="115" t="n">
        <f aca="false">EDATE(A238,1)</f>
        <v>44228</v>
      </c>
      <c r="B239" s="116" t="n">
        <f aca="false">'Inputs-Summary'!$B$7</f>
        <v>3017157.21662952</v>
      </c>
      <c r="C239" s="57"/>
      <c r="D239" s="117" t="n">
        <f aca="false">B239+C239</f>
        <v>3017157.21662952</v>
      </c>
      <c r="E239" s="106" t="n">
        <f aca="false">IF(Z239=0,0,IF(AND(Z239=1,$H$3=1),D239*U239,IF($H$3=2,D239,"N/A")))</f>
        <v>0</v>
      </c>
      <c r="F239" s="106" t="n">
        <f aca="false">E239*Y239</f>
        <v>0</v>
      </c>
      <c r="G239" s="118" t="n">
        <f aca="false">VLOOKUP($A239,Table,MATCH(G$4,Curves,0))</f>
        <v>3</v>
      </c>
      <c r="H239" s="119" t="n">
        <f aca="false">G239+$H$7</f>
        <v>3</v>
      </c>
      <c r="I239" s="118" t="n">
        <f aca="false">'Inputs-Summary'!$B$16</f>
        <v>1.85</v>
      </c>
      <c r="J239" s="118" t="n">
        <f aca="false">VLOOKUP($A239,Table,MATCH(J$4,Curves,0))</f>
        <v>5</v>
      </c>
      <c r="K239" s="119" t="n">
        <f aca="false">J239+$K$7</f>
        <v>5</v>
      </c>
      <c r="L239" s="120" t="n">
        <f aca="false">K239</f>
        <v>5</v>
      </c>
      <c r="M239" s="118" t="n">
        <f aca="false">VLOOKUP($A239,Table,MATCH(M$4,Curves,0))</f>
        <v>5</v>
      </c>
      <c r="N239" s="119" t="n">
        <f aca="false">M239+$N$7</f>
        <v>5</v>
      </c>
      <c r="O239" s="120" t="n">
        <f aca="false">N239</f>
        <v>5</v>
      </c>
      <c r="P239" s="109"/>
      <c r="Q239" s="120" t="n">
        <f aca="false">IF($F$3=1,M239+J239+G239,J239+G239)</f>
        <v>8</v>
      </c>
      <c r="R239" s="120" t="n">
        <f aca="false">IF($F$3=1,N239+K239+H239,K239+H239)</f>
        <v>8</v>
      </c>
      <c r="S239" s="120" t="n">
        <f aca="false">IF($F$3=1,O239+L239+I239,L239+I239)</f>
        <v>6.85</v>
      </c>
      <c r="T239" s="121"/>
      <c r="U239" s="67" t="n">
        <f aca="false">A240-A239</f>
        <v>28</v>
      </c>
      <c r="V239" s="122" t="n">
        <f aca="false">CHOOSE(F$3,A240+24,A239)</f>
        <v>44228</v>
      </c>
      <c r="W239" s="67" t="n">
        <f aca="false">V239-C$3</f>
        <v>-1698</v>
      </c>
      <c r="X239" s="118" t="n">
        <f aca="false">VLOOKUP($A239,Table,MATCH(X$4,Curves,0))</f>
        <v>2</v>
      </c>
      <c r="Y239" s="123" t="n">
        <f aca="false">1/(1+CHOOSE(F$3,(X240+($K$3/10000))/2,(X239+($K$3/10000))/2))^(2*W239/365.25)</f>
        <v>629.359823152723</v>
      </c>
      <c r="Z239" s="67" t="n">
        <f aca="false">IF(AND(mthbeg&lt;=A239,mthend&gt;=A239),1,0)</f>
        <v>0</v>
      </c>
      <c r="AA239" s="67" t="n">
        <f aca="false">U239*Z239</f>
        <v>0</v>
      </c>
      <c r="AC239" s="110" t="n">
        <f aca="false">F239*(H239-I239)</f>
        <v>0</v>
      </c>
      <c r="AD239" s="49"/>
      <c r="AE239" s="124"/>
    </row>
    <row r="240" customFormat="false" ht="12" hidden="false" customHeight="true" outlineLevel="0" collapsed="false">
      <c r="A240" s="115" t="n">
        <f aca="false">EDATE(A239,1)</f>
        <v>44256</v>
      </c>
      <c r="B240" s="116" t="n">
        <f aca="false">'Inputs-Summary'!$B$7</f>
        <v>3017157.21662952</v>
      </c>
      <c r="C240" s="57"/>
      <c r="D240" s="117" t="n">
        <f aca="false">B240+C240</f>
        <v>3017157.21662952</v>
      </c>
      <c r="E240" s="106" t="n">
        <f aca="false">IF(Z240=0,0,IF(AND(Z240=1,$H$3=1),D240*U240,IF($H$3=2,D240,"N/A")))</f>
        <v>0</v>
      </c>
      <c r="F240" s="106" t="n">
        <f aca="false">E240*Y240</f>
        <v>0</v>
      </c>
      <c r="G240" s="118" t="n">
        <f aca="false">VLOOKUP($A240,Table,MATCH(G$4,Curves,0))</f>
        <v>3</v>
      </c>
      <c r="H240" s="119" t="n">
        <f aca="false">G240+$H$7</f>
        <v>3</v>
      </c>
      <c r="I240" s="118" t="n">
        <f aca="false">'Inputs-Summary'!$B$16</f>
        <v>1.85</v>
      </c>
      <c r="J240" s="118" t="n">
        <f aca="false">VLOOKUP($A240,Table,MATCH(J$4,Curves,0))</f>
        <v>5</v>
      </c>
      <c r="K240" s="119" t="n">
        <f aca="false">J240+$K$7</f>
        <v>5</v>
      </c>
      <c r="L240" s="120" t="n">
        <f aca="false">K240</f>
        <v>5</v>
      </c>
      <c r="M240" s="118" t="n">
        <f aca="false">VLOOKUP($A240,Table,MATCH(M$4,Curves,0))</f>
        <v>5</v>
      </c>
      <c r="N240" s="119" t="n">
        <f aca="false">M240+$N$7</f>
        <v>5</v>
      </c>
      <c r="O240" s="120" t="n">
        <f aca="false">N240</f>
        <v>5</v>
      </c>
      <c r="P240" s="109"/>
      <c r="Q240" s="120" t="n">
        <f aca="false">IF($F$3=1,M240+J240+G240,J240+G240)</f>
        <v>8</v>
      </c>
      <c r="R240" s="120" t="n">
        <f aca="false">IF($F$3=1,N240+K240+H240,K240+H240)</f>
        <v>8</v>
      </c>
      <c r="S240" s="120" t="n">
        <f aca="false">IF($F$3=1,O240+L240+I240,L240+I240)</f>
        <v>6.85</v>
      </c>
      <c r="T240" s="121"/>
      <c r="U240" s="67" t="n">
        <f aca="false">A241-A240</f>
        <v>31</v>
      </c>
      <c r="V240" s="122" t="n">
        <f aca="false">CHOOSE(F$3,A241+24,A240)</f>
        <v>44256</v>
      </c>
      <c r="W240" s="67" t="n">
        <f aca="false">V240-C$3</f>
        <v>-1670</v>
      </c>
      <c r="X240" s="118" t="n">
        <f aca="false">VLOOKUP($A240,Table,MATCH(X$4,Curves,0))</f>
        <v>2</v>
      </c>
      <c r="Y240" s="123" t="n">
        <f aca="false">1/(1+CHOOSE(F$3,(X241+($K$3/10000))/2,(X240+($K$3/10000))/2))^(2*W240/365.25)</f>
        <v>565.907178973122</v>
      </c>
      <c r="Z240" s="67" t="n">
        <f aca="false">IF(AND(mthbeg&lt;=A240,mthend&gt;=A240),1,0)</f>
        <v>0</v>
      </c>
      <c r="AA240" s="67" t="n">
        <f aca="false">U240*Z240</f>
        <v>0</v>
      </c>
      <c r="AC240" s="110" t="n">
        <f aca="false">F240*(H240-I240)</f>
        <v>0</v>
      </c>
      <c r="AD240" s="49"/>
      <c r="AE240" s="124"/>
    </row>
    <row r="241" customFormat="false" ht="12" hidden="false" customHeight="true" outlineLevel="0" collapsed="false">
      <c r="A241" s="115" t="n">
        <f aca="false">EDATE(A240,1)</f>
        <v>44287</v>
      </c>
      <c r="B241" s="116" t="n">
        <f aca="false">'Inputs-Summary'!$B$7</f>
        <v>3017157.21662952</v>
      </c>
      <c r="C241" s="57"/>
      <c r="D241" s="117" t="n">
        <f aca="false">B241+C241</f>
        <v>3017157.21662952</v>
      </c>
      <c r="E241" s="106" t="n">
        <f aca="false">IF(Z241=0,0,IF(AND(Z241=1,$H$3=1),D241*U241,IF($H$3=2,D241,"N/A")))</f>
        <v>0</v>
      </c>
      <c r="F241" s="106" t="n">
        <f aca="false">E241*Y241</f>
        <v>0</v>
      </c>
      <c r="G241" s="118" t="n">
        <f aca="false">VLOOKUP($A241,Table,MATCH(G$4,Curves,0))</f>
        <v>3</v>
      </c>
      <c r="H241" s="119" t="n">
        <f aca="false">G241+$H$7</f>
        <v>3</v>
      </c>
      <c r="I241" s="118" t="n">
        <f aca="false">'Inputs-Summary'!$B$16</f>
        <v>1.85</v>
      </c>
      <c r="J241" s="118" t="n">
        <f aca="false">VLOOKUP($A241,Table,MATCH(J$4,Curves,0))</f>
        <v>5</v>
      </c>
      <c r="K241" s="119" t="n">
        <f aca="false">J241+$K$7</f>
        <v>5</v>
      </c>
      <c r="L241" s="120" t="n">
        <f aca="false">K241</f>
        <v>5</v>
      </c>
      <c r="M241" s="118" t="n">
        <f aca="false">VLOOKUP($A241,Table,MATCH(M$4,Curves,0))</f>
        <v>5</v>
      </c>
      <c r="N241" s="119" t="n">
        <f aca="false">M241+$N$7</f>
        <v>5</v>
      </c>
      <c r="O241" s="120" t="n">
        <f aca="false">N241</f>
        <v>5</v>
      </c>
      <c r="P241" s="109"/>
      <c r="Q241" s="120" t="n">
        <f aca="false">IF($F$3=1,M241+J241+G241,J241+G241)</f>
        <v>8</v>
      </c>
      <c r="R241" s="120" t="n">
        <f aca="false">IF($F$3=1,N241+K241+H241,K241+H241)</f>
        <v>8</v>
      </c>
      <c r="S241" s="120" t="n">
        <f aca="false">IF($F$3=1,O241+L241+I241,L241+I241)</f>
        <v>6.85</v>
      </c>
      <c r="T241" s="121"/>
      <c r="U241" s="67" t="n">
        <f aca="false">A242-A241</f>
        <v>30</v>
      </c>
      <c r="V241" s="122" t="n">
        <f aca="false">CHOOSE(F$3,A242+24,A241)</f>
        <v>44287</v>
      </c>
      <c r="W241" s="67" t="n">
        <f aca="false">V241-C$3</f>
        <v>-1639</v>
      </c>
      <c r="X241" s="118" t="n">
        <f aca="false">VLOOKUP($A241,Table,MATCH(X$4,Curves,0))</f>
        <v>2</v>
      </c>
      <c r="Y241" s="123" t="n">
        <f aca="false">1/(1+CHOOSE(F$3,(X242+($K$3/10000))/2,(X241+($K$3/10000))/2))^(2*W241/365.25)</f>
        <v>503.090759228946</v>
      </c>
      <c r="Z241" s="67" t="n">
        <f aca="false">IF(AND(mthbeg&lt;=A241,mthend&gt;=A241),1,0)</f>
        <v>0</v>
      </c>
      <c r="AA241" s="67" t="n">
        <f aca="false">U241*Z241</f>
        <v>0</v>
      </c>
      <c r="AC241" s="110" t="n">
        <f aca="false">F241*(H241-I241)</f>
        <v>0</v>
      </c>
      <c r="AD241" s="49"/>
      <c r="AE241" s="124"/>
    </row>
    <row r="242" customFormat="false" ht="12" hidden="false" customHeight="true" outlineLevel="0" collapsed="false">
      <c r="A242" s="115" t="n">
        <f aca="false">EDATE(A241,1)</f>
        <v>44317</v>
      </c>
      <c r="B242" s="116" t="n">
        <f aca="false">'Inputs-Summary'!$B$7</f>
        <v>3017157.21662952</v>
      </c>
      <c r="C242" s="57"/>
      <c r="D242" s="117" t="n">
        <f aca="false">B242+C242</f>
        <v>3017157.21662952</v>
      </c>
      <c r="E242" s="106" t="n">
        <f aca="false">IF(Z242=0,0,IF(AND(Z242=1,$H$3=1),D242*U242,IF($H$3=2,D242,"N/A")))</f>
        <v>0</v>
      </c>
      <c r="F242" s="106" t="n">
        <f aca="false">E242*Y242</f>
        <v>0</v>
      </c>
      <c r="G242" s="118" t="n">
        <f aca="false">VLOOKUP($A242,Table,MATCH(G$4,Curves,0))</f>
        <v>3</v>
      </c>
      <c r="H242" s="119" t="n">
        <f aca="false">G242+$H$7</f>
        <v>3</v>
      </c>
      <c r="I242" s="118" t="n">
        <f aca="false">'Inputs-Summary'!$B$16</f>
        <v>1.85</v>
      </c>
      <c r="J242" s="118" t="n">
        <f aca="false">VLOOKUP($A242,Table,MATCH(J$4,Curves,0))</f>
        <v>5</v>
      </c>
      <c r="K242" s="119" t="n">
        <f aca="false">J242+$K$7</f>
        <v>5</v>
      </c>
      <c r="L242" s="120" t="n">
        <f aca="false">K242</f>
        <v>5</v>
      </c>
      <c r="M242" s="118" t="n">
        <f aca="false">VLOOKUP($A242,Table,MATCH(M$4,Curves,0))</f>
        <v>5</v>
      </c>
      <c r="N242" s="119" t="n">
        <f aca="false">M242+$N$7</f>
        <v>5</v>
      </c>
      <c r="O242" s="120" t="n">
        <f aca="false">N242</f>
        <v>5</v>
      </c>
      <c r="P242" s="109"/>
      <c r="Q242" s="120" t="n">
        <f aca="false">IF($F$3=1,M242+J242+G242,J242+G242)</f>
        <v>8</v>
      </c>
      <c r="R242" s="120" t="n">
        <f aca="false">IF($F$3=1,N242+K242+H242,K242+H242)</f>
        <v>8</v>
      </c>
      <c r="S242" s="120" t="n">
        <f aca="false">IF($F$3=1,O242+L242+I242,L242+I242)</f>
        <v>6.85</v>
      </c>
      <c r="T242" s="121"/>
      <c r="U242" s="67" t="n">
        <f aca="false">A243-A242</f>
        <v>31</v>
      </c>
      <c r="V242" s="122" t="n">
        <f aca="false">CHOOSE(F$3,A243+24,A242)</f>
        <v>44317</v>
      </c>
      <c r="W242" s="67" t="n">
        <f aca="false">V242-C$3</f>
        <v>-1609</v>
      </c>
      <c r="X242" s="118" t="n">
        <f aca="false">VLOOKUP($A242,Table,MATCH(X$4,Curves,0))</f>
        <v>2</v>
      </c>
      <c r="Y242" s="123" t="n">
        <f aca="false">1/(1+CHOOSE(F$3,(X243+($K$3/10000))/2,(X242+($K$3/10000))/2))^(2*W242/365.25)</f>
        <v>448.947779258829</v>
      </c>
      <c r="Z242" s="67" t="n">
        <f aca="false">IF(AND(mthbeg&lt;=A242,mthend&gt;=A242),1,0)</f>
        <v>0</v>
      </c>
      <c r="AA242" s="67" t="n">
        <f aca="false">U242*Z242</f>
        <v>0</v>
      </c>
      <c r="AC242" s="110" t="n">
        <f aca="false">F242*(H242-I242)</f>
        <v>0</v>
      </c>
      <c r="AD242" s="49"/>
      <c r="AE242" s="124"/>
    </row>
    <row r="243" customFormat="false" ht="12" hidden="false" customHeight="true" outlineLevel="0" collapsed="false">
      <c r="A243" s="115" t="n">
        <f aca="false">EDATE(A242,1)</f>
        <v>44348</v>
      </c>
      <c r="B243" s="116" t="n">
        <f aca="false">'Inputs-Summary'!$B$7</f>
        <v>3017157.21662952</v>
      </c>
      <c r="C243" s="57"/>
      <c r="D243" s="117" t="n">
        <f aca="false">B243+C243</f>
        <v>3017157.21662952</v>
      </c>
      <c r="E243" s="106" t="n">
        <f aca="false">IF(Z243=0,0,IF(AND(Z243=1,$H$3=1),D243*U243,IF($H$3=2,D243,"N/A")))</f>
        <v>0</v>
      </c>
      <c r="F243" s="106" t="n">
        <f aca="false">E243*Y243</f>
        <v>0</v>
      </c>
      <c r="G243" s="118" t="n">
        <f aca="false">VLOOKUP($A243,Table,MATCH(G$4,Curves,0))</f>
        <v>3</v>
      </c>
      <c r="H243" s="119" t="n">
        <f aca="false">G243+$H$7</f>
        <v>3</v>
      </c>
      <c r="I243" s="118" t="n">
        <f aca="false">'Inputs-Summary'!$B$16</f>
        <v>1.85</v>
      </c>
      <c r="J243" s="118" t="n">
        <f aca="false">VLOOKUP($A243,Table,MATCH(J$4,Curves,0))</f>
        <v>5</v>
      </c>
      <c r="K243" s="119" t="n">
        <f aca="false">J243+$K$7</f>
        <v>5</v>
      </c>
      <c r="L243" s="120" t="n">
        <f aca="false">K243</f>
        <v>5</v>
      </c>
      <c r="M243" s="118" t="n">
        <f aca="false">VLOOKUP($A243,Table,MATCH(M$4,Curves,0))</f>
        <v>5</v>
      </c>
      <c r="N243" s="119" t="n">
        <f aca="false">M243+$N$7</f>
        <v>5</v>
      </c>
      <c r="O243" s="120" t="n">
        <f aca="false">N243</f>
        <v>5</v>
      </c>
      <c r="P243" s="109"/>
      <c r="Q243" s="120" t="n">
        <f aca="false">IF($F$3=1,M243+J243+G243,J243+G243)</f>
        <v>8</v>
      </c>
      <c r="R243" s="120" t="n">
        <f aca="false">IF($F$3=1,N243+K243+H243,K243+H243)</f>
        <v>8</v>
      </c>
      <c r="S243" s="120" t="n">
        <f aca="false">IF($F$3=1,O243+L243+I243,L243+I243)</f>
        <v>6.85</v>
      </c>
      <c r="T243" s="121"/>
      <c r="U243" s="67" t="n">
        <f aca="false">A244-A243</f>
        <v>30</v>
      </c>
      <c r="V243" s="122" t="n">
        <f aca="false">CHOOSE(F$3,A244+24,A243)</f>
        <v>44348</v>
      </c>
      <c r="W243" s="67" t="n">
        <f aca="false">V243-C$3</f>
        <v>-1578</v>
      </c>
      <c r="X243" s="118" t="n">
        <f aca="false">VLOOKUP($A243,Table,MATCH(X$4,Curves,0))</f>
        <v>2</v>
      </c>
      <c r="Y243" s="123" t="n">
        <f aca="false">1/(1+CHOOSE(F$3,(X244+($K$3/10000))/2,(X243+($K$3/10000))/2))^(2*W243/365.25)</f>
        <v>399.114002284464</v>
      </c>
      <c r="Z243" s="67" t="n">
        <f aca="false">IF(AND(mthbeg&lt;=A243,mthend&gt;=A243),1,0)</f>
        <v>0</v>
      </c>
      <c r="AA243" s="67" t="n">
        <f aca="false">U243*Z243</f>
        <v>0</v>
      </c>
      <c r="AC243" s="110" t="n">
        <f aca="false">F243*(H243-I243)</f>
        <v>0</v>
      </c>
      <c r="AD243" s="49"/>
      <c r="AE243" s="124"/>
    </row>
    <row r="244" customFormat="false" ht="12" hidden="false" customHeight="true" outlineLevel="0" collapsed="false">
      <c r="A244" s="115" t="n">
        <f aca="false">EDATE(A243,1)</f>
        <v>44378</v>
      </c>
      <c r="B244" s="116" t="n">
        <f aca="false">'Inputs-Summary'!$B$7</f>
        <v>3017157.21662952</v>
      </c>
      <c r="C244" s="57"/>
      <c r="D244" s="117" t="n">
        <f aca="false">B244+C244</f>
        <v>3017157.21662952</v>
      </c>
      <c r="E244" s="106" t="n">
        <f aca="false">IF(Z244=0,0,IF(AND(Z244=1,$H$3=1),D244*U244,IF($H$3=2,D244,"N/A")))</f>
        <v>0</v>
      </c>
      <c r="F244" s="106" t="n">
        <f aca="false">E244*Y244</f>
        <v>0</v>
      </c>
      <c r="G244" s="118" t="n">
        <f aca="false">VLOOKUP($A244,Table,MATCH(G$4,Curves,0))</f>
        <v>3</v>
      </c>
      <c r="H244" s="119" t="n">
        <f aca="false">G244+$H$7</f>
        <v>3</v>
      </c>
      <c r="I244" s="118" t="n">
        <f aca="false">'Inputs-Summary'!$B$16</f>
        <v>1.85</v>
      </c>
      <c r="J244" s="118" t="n">
        <f aca="false">VLOOKUP($A244,Table,MATCH(J$4,Curves,0))</f>
        <v>5</v>
      </c>
      <c r="K244" s="119" t="n">
        <f aca="false">J244+$K$7</f>
        <v>5</v>
      </c>
      <c r="L244" s="120" t="n">
        <f aca="false">K244</f>
        <v>5</v>
      </c>
      <c r="M244" s="118" t="n">
        <f aca="false">VLOOKUP($A244,Table,MATCH(M$4,Curves,0))</f>
        <v>5</v>
      </c>
      <c r="N244" s="119" t="n">
        <f aca="false">M244+$N$7</f>
        <v>5</v>
      </c>
      <c r="O244" s="120" t="n">
        <f aca="false">N244</f>
        <v>5</v>
      </c>
      <c r="P244" s="109"/>
      <c r="Q244" s="120" t="n">
        <f aca="false">IF($F$3=1,M244+J244+G244,J244+G244)</f>
        <v>8</v>
      </c>
      <c r="R244" s="120" t="n">
        <f aca="false">IF($F$3=1,N244+K244+H244,K244+H244)</f>
        <v>8</v>
      </c>
      <c r="S244" s="120" t="n">
        <f aca="false">IF($F$3=1,O244+L244+I244,L244+I244)</f>
        <v>6.85</v>
      </c>
      <c r="T244" s="121"/>
      <c r="U244" s="67" t="n">
        <f aca="false">A245-A244</f>
        <v>31</v>
      </c>
      <c r="V244" s="122" t="n">
        <f aca="false">CHOOSE(F$3,A245+24,A244)</f>
        <v>44378</v>
      </c>
      <c r="W244" s="67" t="n">
        <f aca="false">V244-C$3</f>
        <v>-1548</v>
      </c>
      <c r="X244" s="118" t="n">
        <f aca="false">VLOOKUP($A244,Table,MATCH(X$4,Curves,0))</f>
        <v>2</v>
      </c>
      <c r="Y244" s="123" t="n">
        <f aca="false">1/(1+CHOOSE(F$3,(X245+($K$3/10000))/2,(X244+($K$3/10000))/2))^(2*W244/365.25)</f>
        <v>356.161073742107</v>
      </c>
      <c r="Z244" s="67" t="n">
        <f aca="false">IF(AND(mthbeg&lt;=A244,mthend&gt;=A244),1,0)</f>
        <v>0</v>
      </c>
      <c r="AA244" s="67" t="n">
        <f aca="false">U244*Z244</f>
        <v>0</v>
      </c>
      <c r="AC244" s="110" t="n">
        <f aca="false">F244*(H244-I244)</f>
        <v>0</v>
      </c>
      <c r="AD244" s="49"/>
      <c r="AE244" s="124"/>
    </row>
    <row r="245" customFormat="false" ht="12" hidden="false" customHeight="true" outlineLevel="0" collapsed="false">
      <c r="A245" s="115" t="n">
        <f aca="false">EDATE(A244,1)</f>
        <v>44409</v>
      </c>
      <c r="B245" s="116" t="n">
        <f aca="false">'Inputs-Summary'!$B$7</f>
        <v>3017157.21662952</v>
      </c>
      <c r="C245" s="57"/>
      <c r="D245" s="117" t="n">
        <f aca="false">B245+C245</f>
        <v>3017157.21662952</v>
      </c>
      <c r="E245" s="106" t="n">
        <f aca="false">IF(Z245=0,0,IF(AND(Z245=1,$H$3=1),D245*U245,IF($H$3=2,D245,"N/A")))</f>
        <v>0</v>
      </c>
      <c r="F245" s="106" t="n">
        <f aca="false">E245*Y245</f>
        <v>0</v>
      </c>
      <c r="G245" s="118" t="n">
        <f aca="false">VLOOKUP($A245,Table,MATCH(G$4,Curves,0))</f>
        <v>3</v>
      </c>
      <c r="H245" s="119" t="n">
        <f aca="false">G245+$H$7</f>
        <v>3</v>
      </c>
      <c r="I245" s="118" t="n">
        <f aca="false">'Inputs-Summary'!$B$16</f>
        <v>1.85</v>
      </c>
      <c r="J245" s="118" t="n">
        <f aca="false">VLOOKUP($A245,Table,MATCH(J$4,Curves,0))</f>
        <v>5</v>
      </c>
      <c r="K245" s="119" t="n">
        <f aca="false">J245+$K$7</f>
        <v>5</v>
      </c>
      <c r="L245" s="120" t="n">
        <f aca="false">K245</f>
        <v>5</v>
      </c>
      <c r="M245" s="118" t="n">
        <f aca="false">VLOOKUP($A245,Table,MATCH(M$4,Curves,0))</f>
        <v>5</v>
      </c>
      <c r="N245" s="119" t="n">
        <f aca="false">M245+$N$7</f>
        <v>5</v>
      </c>
      <c r="O245" s="120" t="n">
        <f aca="false">N245</f>
        <v>5</v>
      </c>
      <c r="P245" s="109"/>
      <c r="Q245" s="120" t="n">
        <f aca="false">IF($F$3=1,M245+J245+G245,J245+G245)</f>
        <v>8</v>
      </c>
      <c r="R245" s="120" t="n">
        <f aca="false">IF($F$3=1,N245+K245+H245,K245+H245)</f>
        <v>8</v>
      </c>
      <c r="S245" s="120" t="n">
        <f aca="false">IF($F$3=1,O245+L245+I245,L245+I245)</f>
        <v>6.85</v>
      </c>
      <c r="T245" s="121"/>
      <c r="U245" s="67" t="n">
        <f aca="false">A246-A245</f>
        <v>31</v>
      </c>
      <c r="V245" s="122" t="n">
        <f aca="false">CHOOSE(F$3,A246+24,A245)</f>
        <v>44409</v>
      </c>
      <c r="W245" s="67" t="n">
        <f aca="false">V245-C$3</f>
        <v>-1517</v>
      </c>
      <c r="X245" s="118" t="n">
        <f aca="false">VLOOKUP($A245,Table,MATCH(X$4,Curves,0))</f>
        <v>2</v>
      </c>
      <c r="Y245" s="123" t="n">
        <f aca="false">1/(1+CHOOSE(F$3,(X246+($K$3/10000))/2,(X245+($K$3/10000))/2))^(2*W245/365.25)</f>
        <v>316.626739603923</v>
      </c>
      <c r="Z245" s="67" t="n">
        <f aca="false">IF(AND(mthbeg&lt;=A245,mthend&gt;=A245),1,0)</f>
        <v>0</v>
      </c>
      <c r="AA245" s="67" t="n">
        <f aca="false">U245*Z245</f>
        <v>0</v>
      </c>
      <c r="AC245" s="110" t="n">
        <f aca="false">F245*(H245-I245)</f>
        <v>0</v>
      </c>
      <c r="AD245" s="49"/>
      <c r="AE245" s="124"/>
    </row>
    <row r="246" customFormat="false" ht="12" hidden="false" customHeight="true" outlineLevel="0" collapsed="false">
      <c r="A246" s="115" t="n">
        <f aca="false">EDATE(A245,1)</f>
        <v>44440</v>
      </c>
      <c r="B246" s="116" t="n">
        <f aca="false">'Inputs-Summary'!$B$7</f>
        <v>3017157.21662952</v>
      </c>
      <c r="C246" s="57"/>
      <c r="D246" s="117" t="n">
        <f aca="false">B246+C246</f>
        <v>3017157.21662952</v>
      </c>
      <c r="E246" s="106" t="n">
        <f aca="false">IF(Z246=0,0,IF(AND(Z246=1,$H$3=1),D246*U246,IF($H$3=2,D246,"N/A")))</f>
        <v>0</v>
      </c>
      <c r="F246" s="106" t="n">
        <f aca="false">E246*Y246</f>
        <v>0</v>
      </c>
      <c r="G246" s="118" t="n">
        <f aca="false">VLOOKUP($A246,Table,MATCH(G$4,Curves,0))</f>
        <v>3</v>
      </c>
      <c r="H246" s="119" t="n">
        <f aca="false">G246+$H$7</f>
        <v>3</v>
      </c>
      <c r="I246" s="118" t="n">
        <f aca="false">'Inputs-Summary'!$B$16</f>
        <v>1.85</v>
      </c>
      <c r="J246" s="118" t="n">
        <f aca="false">VLOOKUP($A246,Table,MATCH(J$4,Curves,0))</f>
        <v>5</v>
      </c>
      <c r="K246" s="119" t="n">
        <f aca="false">J246+$K$7</f>
        <v>5</v>
      </c>
      <c r="L246" s="120" t="n">
        <f aca="false">K246</f>
        <v>5</v>
      </c>
      <c r="M246" s="118" t="n">
        <f aca="false">VLOOKUP($A246,Table,MATCH(M$4,Curves,0))</f>
        <v>5</v>
      </c>
      <c r="N246" s="119" t="n">
        <f aca="false">M246+$N$7</f>
        <v>5</v>
      </c>
      <c r="O246" s="120" t="n">
        <f aca="false">N246</f>
        <v>5</v>
      </c>
      <c r="P246" s="109"/>
      <c r="Q246" s="120" t="n">
        <f aca="false">IF($F$3=1,M246+J246+G246,J246+G246)</f>
        <v>8</v>
      </c>
      <c r="R246" s="120" t="n">
        <f aca="false">IF($F$3=1,N246+K246+H246,K246+H246)</f>
        <v>8</v>
      </c>
      <c r="S246" s="120" t="n">
        <f aca="false">IF($F$3=1,O246+L246+I246,L246+I246)</f>
        <v>6.85</v>
      </c>
      <c r="T246" s="121"/>
      <c r="U246" s="67" t="n">
        <f aca="false">A247-A246</f>
        <v>30</v>
      </c>
      <c r="V246" s="122" t="n">
        <f aca="false">CHOOSE(F$3,A247+24,A246)</f>
        <v>44440</v>
      </c>
      <c r="W246" s="67" t="n">
        <f aca="false">V246-C$3</f>
        <v>-1486</v>
      </c>
      <c r="X246" s="118" t="n">
        <f aca="false">VLOOKUP($A246,Table,MATCH(X$4,Curves,0))</f>
        <v>2</v>
      </c>
      <c r="Y246" s="123" t="n">
        <f aca="false">1/(1+CHOOSE(F$3,(X247+($K$3/10000))/2,(X246+($K$3/10000))/2))^(2*W246/365.25)</f>
        <v>281.48076705542</v>
      </c>
      <c r="Z246" s="67" t="n">
        <f aca="false">IF(AND(mthbeg&lt;=A246,mthend&gt;=A246),1,0)</f>
        <v>0</v>
      </c>
      <c r="AA246" s="67" t="n">
        <f aca="false">U246*Z246</f>
        <v>0</v>
      </c>
      <c r="AC246" s="110" t="n">
        <f aca="false">F246*(H246-I246)</f>
        <v>0</v>
      </c>
      <c r="AD246" s="49"/>
      <c r="AE246" s="124"/>
    </row>
    <row r="247" customFormat="false" ht="12" hidden="false" customHeight="true" outlineLevel="0" collapsed="false">
      <c r="A247" s="115" t="n">
        <f aca="false">EDATE(A246,1)</f>
        <v>44470</v>
      </c>
      <c r="B247" s="116" t="n">
        <f aca="false">'Inputs-Summary'!$B$7</f>
        <v>3017157.21662952</v>
      </c>
      <c r="C247" s="57"/>
      <c r="D247" s="117" t="n">
        <f aca="false">B247+C247</f>
        <v>3017157.21662952</v>
      </c>
      <c r="E247" s="106" t="n">
        <f aca="false">IF(Z247=0,0,IF(AND(Z247=1,$H$3=1),D247*U247,IF($H$3=2,D247,"N/A")))</f>
        <v>0</v>
      </c>
      <c r="F247" s="106" t="n">
        <f aca="false">E247*Y247</f>
        <v>0</v>
      </c>
      <c r="G247" s="118" t="n">
        <f aca="false">VLOOKUP($A247,Table,MATCH(G$4,Curves,0))</f>
        <v>3</v>
      </c>
      <c r="H247" s="119" t="n">
        <f aca="false">G247+$H$7</f>
        <v>3</v>
      </c>
      <c r="I247" s="118" t="n">
        <f aca="false">'Inputs-Summary'!$B$16</f>
        <v>1.85</v>
      </c>
      <c r="J247" s="118" t="n">
        <f aca="false">VLOOKUP($A247,Table,MATCH(J$4,Curves,0))</f>
        <v>5</v>
      </c>
      <c r="K247" s="119" t="n">
        <f aca="false">J247+$K$7</f>
        <v>5</v>
      </c>
      <c r="L247" s="120" t="n">
        <f aca="false">K247</f>
        <v>5</v>
      </c>
      <c r="M247" s="118" t="n">
        <f aca="false">VLOOKUP($A247,Table,MATCH(M$4,Curves,0))</f>
        <v>5</v>
      </c>
      <c r="N247" s="119" t="n">
        <f aca="false">M247+$N$7</f>
        <v>5</v>
      </c>
      <c r="O247" s="120" t="n">
        <f aca="false">N247</f>
        <v>5</v>
      </c>
      <c r="P247" s="109"/>
      <c r="Q247" s="120" t="n">
        <f aca="false">IF($F$3=1,M247+J247+G247,J247+G247)</f>
        <v>8</v>
      </c>
      <c r="R247" s="120" t="n">
        <f aca="false">IF($F$3=1,N247+K247+H247,K247+H247)</f>
        <v>8</v>
      </c>
      <c r="S247" s="120" t="n">
        <f aca="false">IF($F$3=1,O247+L247+I247,L247+I247)</f>
        <v>6.85</v>
      </c>
      <c r="T247" s="121"/>
      <c r="U247" s="67" t="n">
        <f aca="false">A248-A247</f>
        <v>31</v>
      </c>
      <c r="V247" s="122" t="n">
        <f aca="false">CHOOSE(F$3,A248+24,A247)</f>
        <v>44470</v>
      </c>
      <c r="W247" s="67" t="n">
        <f aca="false">V247-C$3</f>
        <v>-1456</v>
      </c>
      <c r="X247" s="118" t="n">
        <f aca="false">VLOOKUP($A247,Table,MATCH(X$4,Curves,0))</f>
        <v>2</v>
      </c>
      <c r="Y247" s="123" t="n">
        <f aca="false">1/(1+CHOOSE(F$3,(X248+($K$3/10000))/2,(X247+($K$3/10000))/2))^(2*W247/365.25)</f>
        <v>251.187609701442</v>
      </c>
      <c r="Z247" s="67" t="n">
        <f aca="false">IF(AND(mthbeg&lt;=A247,mthend&gt;=A247),1,0)</f>
        <v>0</v>
      </c>
      <c r="AA247" s="67" t="n">
        <f aca="false">U247*Z247</f>
        <v>0</v>
      </c>
      <c r="AC247" s="110" t="n">
        <f aca="false">F247*(H247-I247)</f>
        <v>0</v>
      </c>
      <c r="AD247" s="49"/>
      <c r="AE247" s="124"/>
    </row>
    <row r="248" customFormat="false" ht="12" hidden="false" customHeight="true" outlineLevel="0" collapsed="false">
      <c r="A248" s="115" t="n">
        <f aca="false">EDATE(A247,1)</f>
        <v>44501</v>
      </c>
      <c r="B248" s="116" t="n">
        <f aca="false">'Inputs-Summary'!$B$7</f>
        <v>3017157.21662952</v>
      </c>
      <c r="C248" s="57"/>
      <c r="D248" s="117" t="n">
        <f aca="false">B248+C248</f>
        <v>3017157.21662952</v>
      </c>
      <c r="E248" s="106" t="n">
        <f aca="false">IF(Z248=0,0,IF(AND(Z248=1,$H$3=1),D248*U248,IF($H$3=2,D248,"N/A")))</f>
        <v>0</v>
      </c>
      <c r="F248" s="106" t="n">
        <f aca="false">E248*Y248</f>
        <v>0</v>
      </c>
      <c r="G248" s="118" t="n">
        <f aca="false">VLOOKUP($A248,Table,MATCH(G$4,Curves,0))</f>
        <v>3</v>
      </c>
      <c r="H248" s="119" t="n">
        <f aca="false">G248+$H$7</f>
        <v>3</v>
      </c>
      <c r="I248" s="118" t="n">
        <f aca="false">'Inputs-Summary'!$B$16</f>
        <v>1.85</v>
      </c>
      <c r="J248" s="118" t="n">
        <f aca="false">VLOOKUP($A248,Table,MATCH(J$4,Curves,0))</f>
        <v>5</v>
      </c>
      <c r="K248" s="119" t="n">
        <f aca="false">J248+$K$7</f>
        <v>5</v>
      </c>
      <c r="L248" s="120" t="n">
        <f aca="false">K248</f>
        <v>5</v>
      </c>
      <c r="M248" s="118" t="n">
        <f aca="false">VLOOKUP($A248,Table,MATCH(M$4,Curves,0))</f>
        <v>5</v>
      </c>
      <c r="N248" s="119" t="n">
        <f aca="false">M248+$N$7</f>
        <v>5</v>
      </c>
      <c r="O248" s="120" t="n">
        <f aca="false">N248</f>
        <v>5</v>
      </c>
      <c r="P248" s="109"/>
      <c r="Q248" s="120" t="n">
        <f aca="false">IF($F$3=1,M248+J248+G248,J248+G248)</f>
        <v>8</v>
      </c>
      <c r="R248" s="120" t="n">
        <f aca="false">IF($F$3=1,N248+K248+H248,K248+H248)</f>
        <v>8</v>
      </c>
      <c r="S248" s="120" t="n">
        <f aca="false">IF($F$3=1,O248+L248+I248,L248+I248)</f>
        <v>6.85</v>
      </c>
      <c r="T248" s="121"/>
      <c r="U248" s="67" t="n">
        <f aca="false">A249-A248</f>
        <v>30</v>
      </c>
      <c r="V248" s="122" t="n">
        <f aca="false">CHOOSE(F$3,A249+24,A248)</f>
        <v>44501</v>
      </c>
      <c r="W248" s="67" t="n">
        <f aca="false">V248-C$3</f>
        <v>-1425</v>
      </c>
      <c r="X248" s="118" t="n">
        <f aca="false">VLOOKUP($A248,Table,MATCH(X$4,Curves,0))</f>
        <v>2</v>
      </c>
      <c r="Y248" s="123" t="n">
        <f aca="false">1/(1+CHOOSE(F$3,(X249+($K$3/10000))/2,(X248+($K$3/10000))/2))^(2*W248/365.25)</f>
        <v>223.305464162709</v>
      </c>
      <c r="Z248" s="67" t="n">
        <f aca="false">IF(AND(mthbeg&lt;=A248,mthend&gt;=A248),1,0)</f>
        <v>0</v>
      </c>
      <c r="AA248" s="67" t="n">
        <f aca="false">U248*Z248</f>
        <v>0</v>
      </c>
      <c r="AC248" s="110" t="n">
        <f aca="false">F248*(H248-I248)</f>
        <v>0</v>
      </c>
      <c r="AD248" s="49"/>
      <c r="AE248" s="124"/>
    </row>
    <row r="249" customFormat="false" ht="12" hidden="false" customHeight="true" outlineLevel="0" collapsed="false">
      <c r="A249" s="115" t="n">
        <f aca="false">EDATE(A248,1)</f>
        <v>44531</v>
      </c>
      <c r="B249" s="116" t="n">
        <f aca="false">'Inputs-Summary'!$B$7</f>
        <v>3017157.21662952</v>
      </c>
      <c r="C249" s="57"/>
      <c r="D249" s="117" t="n">
        <f aca="false">B249+C249</f>
        <v>3017157.21662952</v>
      </c>
      <c r="E249" s="106" t="n">
        <f aca="false">IF(Z249=0,0,IF(AND(Z249=1,$H$3=1),D249*U249,IF($H$3=2,D249,"N/A")))</f>
        <v>0</v>
      </c>
      <c r="F249" s="106" t="n">
        <f aca="false">E249*Y249</f>
        <v>0</v>
      </c>
      <c r="G249" s="118" t="n">
        <f aca="false">VLOOKUP($A249,Table,MATCH(G$4,Curves,0))</f>
        <v>3</v>
      </c>
      <c r="H249" s="119" t="n">
        <f aca="false">G249+$H$7</f>
        <v>3</v>
      </c>
      <c r="I249" s="118" t="n">
        <f aca="false">'Inputs-Summary'!$B$16</f>
        <v>1.85</v>
      </c>
      <c r="J249" s="118" t="n">
        <f aca="false">VLOOKUP($A249,Table,MATCH(J$4,Curves,0))</f>
        <v>5</v>
      </c>
      <c r="K249" s="119" t="n">
        <f aca="false">J249+$K$7</f>
        <v>5</v>
      </c>
      <c r="L249" s="120" t="n">
        <f aca="false">K249</f>
        <v>5</v>
      </c>
      <c r="M249" s="118" t="n">
        <f aca="false">VLOOKUP($A249,Table,MATCH(M$4,Curves,0))</f>
        <v>5</v>
      </c>
      <c r="N249" s="119" t="n">
        <f aca="false">M249+$N$7</f>
        <v>5</v>
      </c>
      <c r="O249" s="120" t="n">
        <f aca="false">N249</f>
        <v>5</v>
      </c>
      <c r="P249" s="109"/>
      <c r="Q249" s="120" t="n">
        <f aca="false">IF($F$3=1,M249+J249+G249,J249+G249)</f>
        <v>8</v>
      </c>
      <c r="R249" s="120" t="n">
        <f aca="false">IF($F$3=1,N249+K249+H249,K249+H249)</f>
        <v>8</v>
      </c>
      <c r="S249" s="120" t="n">
        <f aca="false">IF($F$3=1,O249+L249+I249,L249+I249)</f>
        <v>6.85</v>
      </c>
      <c r="T249" s="121"/>
      <c r="U249" s="67" t="n">
        <f aca="false">A250-A249</f>
        <v>31</v>
      </c>
      <c r="V249" s="122" t="n">
        <f aca="false">CHOOSE(F$3,A250+24,A249)</f>
        <v>44531</v>
      </c>
      <c r="W249" s="67" t="n">
        <f aca="false">V249-C$3</f>
        <v>-1395</v>
      </c>
      <c r="X249" s="118" t="n">
        <f aca="false">VLOOKUP($A249,Table,MATCH(X$4,Curves,0))</f>
        <v>2</v>
      </c>
      <c r="Y249" s="123" t="n">
        <f aca="false">1/(1+CHOOSE(F$3,(X250+($K$3/10000))/2,(X249+($K$3/10000))/2))^(2*W249/365.25)</f>
        <v>199.273173663259</v>
      </c>
      <c r="Z249" s="67" t="n">
        <f aca="false">IF(AND(mthbeg&lt;=A249,mthend&gt;=A249),1,0)</f>
        <v>0</v>
      </c>
      <c r="AA249" s="67" t="n">
        <f aca="false">U249*Z249</f>
        <v>0</v>
      </c>
      <c r="AC249" s="110" t="n">
        <f aca="false">F249*(H249-I249)</f>
        <v>0</v>
      </c>
      <c r="AD249" s="49"/>
      <c r="AE249" s="124"/>
    </row>
    <row r="250" customFormat="false" ht="12" hidden="false" customHeight="true" outlineLevel="0" collapsed="false">
      <c r="A250" s="115" t="n">
        <f aca="false">EDATE(A249,1)</f>
        <v>44562</v>
      </c>
      <c r="B250" s="116" t="n">
        <f aca="false">'Inputs-Summary'!$B$7</f>
        <v>3017157.21662952</v>
      </c>
      <c r="C250" s="57"/>
      <c r="D250" s="117" t="n">
        <f aca="false">B250+C250</f>
        <v>3017157.21662952</v>
      </c>
      <c r="E250" s="106" t="n">
        <f aca="false">IF(Z250=0,0,IF(AND(Z250=1,$H$3=1),D250*U250,IF($H$3=2,D250,"N/A")))</f>
        <v>0</v>
      </c>
      <c r="F250" s="106" t="n">
        <f aca="false">E250*Y250</f>
        <v>0</v>
      </c>
      <c r="G250" s="118" t="n">
        <f aca="false">VLOOKUP($A250,Table,MATCH(G$4,Curves,0))</f>
        <v>3</v>
      </c>
      <c r="H250" s="119" t="n">
        <f aca="false">G250+$H$7</f>
        <v>3</v>
      </c>
      <c r="I250" s="118" t="n">
        <f aca="false">'Inputs-Summary'!$B$16</f>
        <v>1.85</v>
      </c>
      <c r="J250" s="118" t="n">
        <f aca="false">VLOOKUP($A250,Table,MATCH(J$4,Curves,0))</f>
        <v>5</v>
      </c>
      <c r="K250" s="119" t="n">
        <f aca="false">J250+$K$7</f>
        <v>5</v>
      </c>
      <c r="L250" s="120" t="n">
        <f aca="false">K250</f>
        <v>5</v>
      </c>
      <c r="M250" s="118" t="n">
        <f aca="false">VLOOKUP($A250,Table,MATCH(M$4,Curves,0))</f>
        <v>5</v>
      </c>
      <c r="N250" s="119" t="n">
        <f aca="false">M250+$N$7</f>
        <v>5</v>
      </c>
      <c r="O250" s="120" t="n">
        <f aca="false">N250</f>
        <v>5</v>
      </c>
      <c r="P250" s="109"/>
      <c r="Q250" s="120" t="n">
        <f aca="false">IF($F$3=1,M250+J250+G250,J250+G250)</f>
        <v>8</v>
      </c>
      <c r="R250" s="120" t="n">
        <f aca="false">IF($F$3=1,N250+K250+H250,K250+H250)</f>
        <v>8</v>
      </c>
      <c r="S250" s="120" t="n">
        <f aca="false">IF($F$3=1,O250+L250+I250,L250+I250)</f>
        <v>6.85</v>
      </c>
      <c r="T250" s="121"/>
      <c r="U250" s="67" t="n">
        <f aca="false">A251-A250</f>
        <v>31</v>
      </c>
      <c r="V250" s="122" t="n">
        <f aca="false">CHOOSE(F$3,A251+24,A250)</f>
        <v>44562</v>
      </c>
      <c r="W250" s="67" t="n">
        <f aca="false">V250-C$3</f>
        <v>-1364</v>
      </c>
      <c r="X250" s="118" t="n">
        <f aca="false">VLOOKUP($A250,Table,MATCH(X$4,Curves,0))</f>
        <v>2</v>
      </c>
      <c r="Y250" s="123" t="n">
        <f aca="false">1/(1+CHOOSE(F$3,(X251+($K$3/10000))/2,(X250+($K$3/10000))/2))^(2*W250/365.25)</f>
        <v>177.153596839194</v>
      </c>
      <c r="Z250" s="67" t="n">
        <f aca="false">IF(AND(mthbeg&lt;=A250,mthend&gt;=A250),1,0)</f>
        <v>0</v>
      </c>
      <c r="AA250" s="67" t="n">
        <f aca="false">U250*Z250</f>
        <v>0</v>
      </c>
      <c r="AC250" s="110" t="n">
        <f aca="false">F250*(H250-I250)</f>
        <v>0</v>
      </c>
      <c r="AD250" s="49"/>
      <c r="AE250" s="124"/>
    </row>
    <row r="251" customFormat="false" ht="12" hidden="false" customHeight="true" outlineLevel="0" collapsed="false">
      <c r="A251" s="115" t="n">
        <f aca="false">EDATE(A250,1)</f>
        <v>44593</v>
      </c>
      <c r="B251" s="116" t="n">
        <f aca="false">'Inputs-Summary'!$B$7</f>
        <v>3017157.21662952</v>
      </c>
      <c r="C251" s="57"/>
      <c r="D251" s="117" t="n">
        <f aca="false">B251+C251</f>
        <v>3017157.21662952</v>
      </c>
      <c r="E251" s="106" t="n">
        <f aca="false">IF(Z251=0,0,IF(AND(Z251=1,$H$3=1),D251*U251,IF($H$3=2,D251,"N/A")))</f>
        <v>0</v>
      </c>
      <c r="F251" s="106" t="n">
        <f aca="false">E251*Y251</f>
        <v>0</v>
      </c>
      <c r="G251" s="118" t="n">
        <f aca="false">VLOOKUP($A251,Table,MATCH(G$4,Curves,0))</f>
        <v>3</v>
      </c>
      <c r="H251" s="119" t="n">
        <f aca="false">G251+$H$7</f>
        <v>3</v>
      </c>
      <c r="I251" s="118" t="n">
        <f aca="false">'Inputs-Summary'!$B$16</f>
        <v>1.85</v>
      </c>
      <c r="J251" s="118" t="n">
        <f aca="false">VLOOKUP($A251,Table,MATCH(J$4,Curves,0))</f>
        <v>5</v>
      </c>
      <c r="K251" s="119" t="n">
        <f aca="false">J251+$K$7</f>
        <v>5</v>
      </c>
      <c r="L251" s="120" t="n">
        <f aca="false">K251</f>
        <v>5</v>
      </c>
      <c r="M251" s="118" t="n">
        <f aca="false">VLOOKUP($A251,Table,MATCH(M$4,Curves,0))</f>
        <v>5</v>
      </c>
      <c r="N251" s="119" t="n">
        <f aca="false">M251+$N$7</f>
        <v>5</v>
      </c>
      <c r="O251" s="120" t="n">
        <f aca="false">N251</f>
        <v>5</v>
      </c>
      <c r="P251" s="109"/>
      <c r="Q251" s="120" t="n">
        <f aca="false">IF($F$3=1,M251+J251+G251,J251+G251)</f>
        <v>8</v>
      </c>
      <c r="R251" s="120" t="n">
        <f aca="false">IF($F$3=1,N251+K251+H251,K251+H251)</f>
        <v>8</v>
      </c>
      <c r="S251" s="120" t="n">
        <f aca="false">IF($F$3=1,O251+L251+I251,L251+I251)</f>
        <v>6.85</v>
      </c>
      <c r="T251" s="121"/>
      <c r="U251" s="67" t="n">
        <f aca="false">A252-A251</f>
        <v>28</v>
      </c>
      <c r="V251" s="122" t="n">
        <f aca="false">CHOOSE(F$3,A252+24,A251)</f>
        <v>44593</v>
      </c>
      <c r="W251" s="67" t="n">
        <f aca="false">V251-C$3</f>
        <v>-1333</v>
      </c>
      <c r="X251" s="118" t="n">
        <f aca="false">VLOOKUP($A251,Table,MATCH(X$4,Curves,0))</f>
        <v>2</v>
      </c>
      <c r="Y251" s="123" t="n">
        <f aca="false">1/(1+CHOOSE(F$3,(X252+($K$3/10000))/2,(X251+($K$3/10000))/2))^(2*W251/365.25)</f>
        <v>157.489321297693</v>
      </c>
      <c r="Z251" s="67" t="n">
        <f aca="false">IF(AND(mthbeg&lt;=A251,mthend&gt;=A251),1,0)</f>
        <v>0</v>
      </c>
      <c r="AA251" s="67" t="n">
        <f aca="false">U251*Z251</f>
        <v>0</v>
      </c>
      <c r="AC251" s="110" t="n">
        <f aca="false">F251*(H251-I251)</f>
        <v>0</v>
      </c>
      <c r="AD251" s="49"/>
      <c r="AE251" s="124"/>
    </row>
    <row r="252" customFormat="false" ht="12" hidden="false" customHeight="true" outlineLevel="0" collapsed="false">
      <c r="A252" s="115" t="n">
        <f aca="false">EDATE(A251,1)</f>
        <v>44621</v>
      </c>
      <c r="B252" s="116" t="n">
        <f aca="false">'Inputs-Summary'!$B$7</f>
        <v>3017157.21662952</v>
      </c>
      <c r="C252" s="57"/>
      <c r="D252" s="117" t="n">
        <f aca="false">B252+C252</f>
        <v>3017157.21662952</v>
      </c>
      <c r="E252" s="106" t="n">
        <f aca="false">IF(Z252=0,0,IF(AND(Z252=1,$H$3=1),D252*U252,IF($H$3=2,D252,"N/A")))</f>
        <v>0</v>
      </c>
      <c r="F252" s="106" t="n">
        <f aca="false">E252*Y252</f>
        <v>0</v>
      </c>
      <c r="G252" s="118" t="n">
        <f aca="false">VLOOKUP($A252,Table,MATCH(G$4,Curves,0))</f>
        <v>3</v>
      </c>
      <c r="H252" s="119" t="n">
        <f aca="false">G252+$H$7</f>
        <v>3</v>
      </c>
      <c r="I252" s="118" t="n">
        <f aca="false">'Inputs-Summary'!$B$16</f>
        <v>1.85</v>
      </c>
      <c r="J252" s="118" t="n">
        <f aca="false">VLOOKUP($A252,Table,MATCH(J$4,Curves,0))</f>
        <v>5</v>
      </c>
      <c r="K252" s="119" t="n">
        <f aca="false">J252+$K$7</f>
        <v>5</v>
      </c>
      <c r="L252" s="120" t="n">
        <f aca="false">K252</f>
        <v>5</v>
      </c>
      <c r="M252" s="118" t="n">
        <f aca="false">VLOOKUP($A252,Table,MATCH(M$4,Curves,0))</f>
        <v>5</v>
      </c>
      <c r="N252" s="119" t="n">
        <f aca="false">M252+$N$7</f>
        <v>5</v>
      </c>
      <c r="O252" s="120" t="n">
        <f aca="false">N252</f>
        <v>5</v>
      </c>
      <c r="P252" s="109"/>
      <c r="Q252" s="120" t="n">
        <f aca="false">IF($F$3=1,M252+J252+G252,J252+G252)</f>
        <v>8</v>
      </c>
      <c r="R252" s="120" t="n">
        <f aca="false">IF($F$3=1,N252+K252+H252,K252+H252)</f>
        <v>8</v>
      </c>
      <c r="S252" s="120" t="n">
        <f aca="false">IF($F$3=1,O252+L252+I252,L252+I252)</f>
        <v>6.85</v>
      </c>
      <c r="T252" s="121"/>
      <c r="U252" s="67" t="n">
        <f aca="false">A253-A252</f>
        <v>31</v>
      </c>
      <c r="V252" s="122" t="n">
        <f aca="false">CHOOSE(F$3,A253+24,A252)</f>
        <v>44621</v>
      </c>
      <c r="W252" s="67" t="n">
        <f aca="false">V252-C$3</f>
        <v>-1305</v>
      </c>
      <c r="X252" s="118" t="n">
        <f aca="false">VLOOKUP($A252,Table,MATCH(X$4,Curves,0))</f>
        <v>2</v>
      </c>
      <c r="Y252" s="123" t="n">
        <f aca="false">1/(1+CHOOSE(F$3,(X253+($K$3/10000))/2,(X252+($K$3/10000))/2))^(2*W252/365.25)</f>
        <v>141.611101082856</v>
      </c>
      <c r="Z252" s="67" t="n">
        <f aca="false">IF(AND(mthbeg&lt;=A252,mthend&gt;=A252),1,0)</f>
        <v>0</v>
      </c>
      <c r="AA252" s="67" t="n">
        <f aca="false">U252*Z252</f>
        <v>0</v>
      </c>
      <c r="AC252" s="110" t="n">
        <f aca="false">F252*(H252-I252)</f>
        <v>0</v>
      </c>
      <c r="AD252" s="49"/>
      <c r="AE252" s="124"/>
    </row>
    <row r="253" customFormat="false" ht="12" hidden="false" customHeight="true" outlineLevel="0" collapsed="false">
      <c r="A253" s="115" t="n">
        <f aca="false">EDATE(A252,1)</f>
        <v>44652</v>
      </c>
      <c r="B253" s="116" t="n">
        <f aca="false">'Inputs-Summary'!$B$7</f>
        <v>3017157.21662952</v>
      </c>
      <c r="C253" s="57"/>
      <c r="D253" s="117" t="n">
        <f aca="false">B253+C253</f>
        <v>3017157.21662952</v>
      </c>
      <c r="E253" s="106" t="n">
        <f aca="false">IF(Z253=0,0,IF(AND(Z253=1,$H$3=1),D253*U253,IF($H$3=2,D253,"N/A")))</f>
        <v>0</v>
      </c>
      <c r="F253" s="106" t="n">
        <f aca="false">E253*Y253</f>
        <v>0</v>
      </c>
      <c r="G253" s="118" t="n">
        <f aca="false">VLOOKUP($A253,Table,MATCH(G$4,Curves,0))</f>
        <v>3</v>
      </c>
      <c r="H253" s="119" t="n">
        <f aca="false">G253+$H$7</f>
        <v>3</v>
      </c>
      <c r="I253" s="118" t="n">
        <f aca="false">'Inputs-Summary'!$B$16</f>
        <v>1.85</v>
      </c>
      <c r="J253" s="118" t="n">
        <f aca="false">VLOOKUP($A253,Table,MATCH(J$4,Curves,0))</f>
        <v>5</v>
      </c>
      <c r="K253" s="119" t="n">
        <f aca="false">J253+$K$7</f>
        <v>5</v>
      </c>
      <c r="L253" s="120" t="n">
        <f aca="false">K253</f>
        <v>5</v>
      </c>
      <c r="M253" s="118" t="n">
        <f aca="false">VLOOKUP($A253,Table,MATCH(M$4,Curves,0))</f>
        <v>5</v>
      </c>
      <c r="N253" s="119" t="n">
        <f aca="false">M253+$N$7</f>
        <v>5</v>
      </c>
      <c r="O253" s="120" t="n">
        <f aca="false">N253</f>
        <v>5</v>
      </c>
      <c r="P253" s="109"/>
      <c r="Q253" s="120" t="n">
        <f aca="false">IF($F$3=1,M253+J253+G253,J253+G253)</f>
        <v>8</v>
      </c>
      <c r="R253" s="120" t="n">
        <f aca="false">IF($F$3=1,N253+K253+H253,K253+H253)</f>
        <v>8</v>
      </c>
      <c r="S253" s="120" t="n">
        <f aca="false">IF($F$3=1,O253+L253+I253,L253+I253)</f>
        <v>6.85</v>
      </c>
      <c r="T253" s="121"/>
      <c r="U253" s="67" t="n">
        <f aca="false">A254-A253</f>
        <v>30</v>
      </c>
      <c r="V253" s="122" t="n">
        <f aca="false">CHOOSE(F$3,A254+24,A253)</f>
        <v>44652</v>
      </c>
      <c r="W253" s="67" t="n">
        <f aca="false">V253-C$3</f>
        <v>-1274</v>
      </c>
      <c r="X253" s="118" t="n">
        <f aca="false">VLOOKUP($A253,Table,MATCH(X$4,Curves,0))</f>
        <v>2</v>
      </c>
      <c r="Y253" s="123" t="n">
        <f aca="false">1/(1+CHOOSE(F$3,(X254+($K$3/10000))/2,(X253+($K$3/10000))/2))^(2*W253/365.25)</f>
        <v>125.892087971559</v>
      </c>
      <c r="Z253" s="67" t="n">
        <f aca="false">IF(AND(mthbeg&lt;=A253,mthend&gt;=A253),1,0)</f>
        <v>0</v>
      </c>
      <c r="AA253" s="67" t="n">
        <f aca="false">U253*Z253</f>
        <v>0</v>
      </c>
      <c r="AC253" s="110" t="n">
        <f aca="false">F253*(H253-I253)</f>
        <v>0</v>
      </c>
      <c r="AD253" s="49"/>
      <c r="AE253" s="124"/>
    </row>
    <row r="254" customFormat="false" ht="12" hidden="false" customHeight="true" outlineLevel="0" collapsed="false">
      <c r="A254" s="115" t="n">
        <f aca="false">EDATE(A253,1)</f>
        <v>44682</v>
      </c>
      <c r="B254" s="116" t="n">
        <f aca="false">'Inputs-Summary'!$B$7</f>
        <v>3017157.21662952</v>
      </c>
      <c r="C254" s="57"/>
      <c r="D254" s="117" t="n">
        <f aca="false">B254+C254</f>
        <v>3017157.21662952</v>
      </c>
      <c r="E254" s="106" t="n">
        <f aca="false">IF(Z254=0,0,IF(AND(Z254=1,$H$3=1),D254*U254,IF($H$3=2,D254,"N/A")))</f>
        <v>0</v>
      </c>
      <c r="F254" s="106" t="n">
        <f aca="false">E254*Y254</f>
        <v>0</v>
      </c>
      <c r="G254" s="118" t="n">
        <f aca="false">VLOOKUP($A254,Table,MATCH(G$4,Curves,0))</f>
        <v>3</v>
      </c>
      <c r="H254" s="119" t="n">
        <f aca="false">G254+$H$7</f>
        <v>3</v>
      </c>
      <c r="I254" s="118" t="n">
        <f aca="false">'Inputs-Summary'!$B$16</f>
        <v>1.85</v>
      </c>
      <c r="J254" s="118" t="n">
        <f aca="false">VLOOKUP($A254,Table,MATCH(J$4,Curves,0))</f>
        <v>5</v>
      </c>
      <c r="K254" s="119" t="n">
        <f aca="false">J254+$K$7</f>
        <v>5</v>
      </c>
      <c r="L254" s="120" t="n">
        <f aca="false">K254</f>
        <v>5</v>
      </c>
      <c r="M254" s="118" t="n">
        <f aca="false">VLOOKUP($A254,Table,MATCH(M$4,Curves,0))</f>
        <v>5</v>
      </c>
      <c r="N254" s="119" t="n">
        <f aca="false">M254+$N$7</f>
        <v>5</v>
      </c>
      <c r="O254" s="120" t="n">
        <f aca="false">N254</f>
        <v>5</v>
      </c>
      <c r="P254" s="109"/>
      <c r="Q254" s="120" t="n">
        <f aca="false">IF($F$3=1,M254+J254+G254,J254+G254)</f>
        <v>8</v>
      </c>
      <c r="R254" s="120" t="n">
        <f aca="false">IF($F$3=1,N254+K254+H254,K254+H254)</f>
        <v>8</v>
      </c>
      <c r="S254" s="120" t="n">
        <f aca="false">IF($F$3=1,O254+L254+I254,L254+I254)</f>
        <v>6.85</v>
      </c>
      <c r="T254" s="121"/>
      <c r="U254" s="67" t="n">
        <f aca="false">A255-A254</f>
        <v>31</v>
      </c>
      <c r="V254" s="122" t="n">
        <f aca="false">CHOOSE(F$3,A255+24,A254)</f>
        <v>44682</v>
      </c>
      <c r="W254" s="67" t="n">
        <f aca="false">V254-C$3</f>
        <v>-1244</v>
      </c>
      <c r="X254" s="118" t="n">
        <f aca="false">VLOOKUP($A254,Table,MATCH(X$4,Curves,0))</f>
        <v>2</v>
      </c>
      <c r="Y254" s="123" t="n">
        <f aca="false">1/(1+CHOOSE(F$3,(X255+($K$3/10000))/2,(X254+($K$3/10000))/2))^(2*W254/365.25)</f>
        <v>112.343493264936</v>
      </c>
      <c r="Z254" s="67" t="n">
        <f aca="false">IF(AND(mthbeg&lt;=A254,mthend&gt;=A254),1,0)</f>
        <v>0</v>
      </c>
      <c r="AA254" s="67" t="n">
        <f aca="false">U254*Z254</f>
        <v>0</v>
      </c>
      <c r="AC254" s="110" t="n">
        <f aca="false">F254*(H254-I254)</f>
        <v>0</v>
      </c>
      <c r="AD254" s="49"/>
      <c r="AE254" s="124"/>
    </row>
    <row r="255" customFormat="false" ht="12" hidden="false" customHeight="true" outlineLevel="0" collapsed="false">
      <c r="A255" s="115" t="n">
        <f aca="false">EDATE(A254,1)</f>
        <v>44713</v>
      </c>
      <c r="B255" s="116" t="n">
        <f aca="false">'Inputs-Summary'!$B$7</f>
        <v>3017157.21662952</v>
      </c>
      <c r="C255" s="57"/>
      <c r="D255" s="117" t="n">
        <f aca="false">B255+C255</f>
        <v>3017157.21662952</v>
      </c>
      <c r="E255" s="106" t="n">
        <f aca="false">IF(Z255=0,0,IF(AND(Z255=1,$H$3=1),D255*U255,IF($H$3=2,D255,"N/A")))</f>
        <v>0</v>
      </c>
      <c r="F255" s="106" t="n">
        <f aca="false">E255*Y255</f>
        <v>0</v>
      </c>
      <c r="G255" s="118" t="n">
        <f aca="false">VLOOKUP($A255,Table,MATCH(G$4,Curves,0))</f>
        <v>3</v>
      </c>
      <c r="H255" s="119" t="n">
        <f aca="false">G255+$H$7</f>
        <v>3</v>
      </c>
      <c r="I255" s="118" t="n">
        <f aca="false">'Inputs-Summary'!$B$16</f>
        <v>1.85</v>
      </c>
      <c r="J255" s="118" t="n">
        <f aca="false">VLOOKUP($A255,Table,MATCH(J$4,Curves,0))</f>
        <v>5</v>
      </c>
      <c r="K255" s="119" t="n">
        <f aca="false">J255+$K$7</f>
        <v>5</v>
      </c>
      <c r="L255" s="120" t="n">
        <f aca="false">K255</f>
        <v>5</v>
      </c>
      <c r="M255" s="118" t="n">
        <f aca="false">VLOOKUP($A255,Table,MATCH(M$4,Curves,0))</f>
        <v>5</v>
      </c>
      <c r="N255" s="119" t="n">
        <f aca="false">M255+$N$7</f>
        <v>5</v>
      </c>
      <c r="O255" s="120" t="n">
        <f aca="false">N255</f>
        <v>5</v>
      </c>
      <c r="P255" s="109"/>
      <c r="Q255" s="120" t="n">
        <f aca="false">IF($F$3=1,M255+J255+G255,J255+G255)</f>
        <v>8</v>
      </c>
      <c r="R255" s="120" t="n">
        <f aca="false">IF($F$3=1,N255+K255+H255,K255+H255)</f>
        <v>8</v>
      </c>
      <c r="S255" s="120" t="n">
        <f aca="false">IF($F$3=1,O255+L255+I255,L255+I255)</f>
        <v>6.85</v>
      </c>
      <c r="T255" s="121"/>
      <c r="U255" s="67" t="n">
        <f aca="false">A256-A255</f>
        <v>30</v>
      </c>
      <c r="V255" s="122" t="n">
        <f aca="false">CHOOSE(F$3,A256+24,A255)</f>
        <v>44713</v>
      </c>
      <c r="W255" s="67" t="n">
        <f aca="false">V255-C$3</f>
        <v>-1213</v>
      </c>
      <c r="X255" s="118" t="n">
        <f aca="false">VLOOKUP($A255,Table,MATCH(X$4,Curves,0))</f>
        <v>2</v>
      </c>
      <c r="Y255" s="123" t="n">
        <f aca="false">1/(1+CHOOSE(F$3,(X256+($K$3/10000))/2,(X255+($K$3/10000))/2))^(2*W255/365.25)</f>
        <v>99.8732220072666</v>
      </c>
      <c r="Z255" s="67" t="n">
        <f aca="false">IF(AND(mthbeg&lt;=A255,mthend&gt;=A255),1,0)</f>
        <v>0</v>
      </c>
      <c r="AA255" s="67" t="n">
        <f aca="false">U255*Z255</f>
        <v>0</v>
      </c>
      <c r="AC255" s="110" t="n">
        <f aca="false">F255*(H255-I255)</f>
        <v>0</v>
      </c>
      <c r="AD255" s="49"/>
      <c r="AE255" s="124"/>
    </row>
    <row r="256" customFormat="false" ht="12" hidden="false" customHeight="true" outlineLevel="0" collapsed="false">
      <c r="A256" s="115" t="n">
        <f aca="false">EDATE(A255,1)</f>
        <v>44743</v>
      </c>
      <c r="B256" s="116" t="n">
        <f aca="false">'Inputs-Summary'!$B$7</f>
        <v>3017157.21662952</v>
      </c>
      <c r="C256" s="57"/>
      <c r="D256" s="117" t="n">
        <f aca="false">B256+C256</f>
        <v>3017157.21662952</v>
      </c>
      <c r="E256" s="106" t="n">
        <f aca="false">IF(Z256=0,0,IF(AND(Z256=1,$H$3=1),D256*U256,IF($H$3=2,D256,"N/A")))</f>
        <v>0</v>
      </c>
      <c r="F256" s="106" t="n">
        <f aca="false">E256*Y256</f>
        <v>0</v>
      </c>
      <c r="G256" s="118" t="n">
        <f aca="false">VLOOKUP($A256,Table,MATCH(G$4,Curves,0))</f>
        <v>3</v>
      </c>
      <c r="H256" s="119" t="n">
        <f aca="false">G256+$H$7</f>
        <v>3</v>
      </c>
      <c r="I256" s="118" t="n">
        <f aca="false">'Inputs-Summary'!$B$16</f>
        <v>1.85</v>
      </c>
      <c r="J256" s="118" t="n">
        <f aca="false">VLOOKUP($A256,Table,MATCH(J$4,Curves,0))</f>
        <v>5</v>
      </c>
      <c r="K256" s="119" t="n">
        <f aca="false">J256+$K$7</f>
        <v>5</v>
      </c>
      <c r="L256" s="120" t="n">
        <f aca="false">K256</f>
        <v>5</v>
      </c>
      <c r="M256" s="118" t="n">
        <f aca="false">VLOOKUP($A256,Table,MATCH(M$4,Curves,0))</f>
        <v>5</v>
      </c>
      <c r="N256" s="119" t="n">
        <f aca="false">M256+$N$7</f>
        <v>5</v>
      </c>
      <c r="O256" s="120" t="n">
        <f aca="false">N256</f>
        <v>5</v>
      </c>
      <c r="P256" s="109"/>
      <c r="Q256" s="120" t="n">
        <f aca="false">IF($F$3=1,M256+J256+G256,J256+G256)</f>
        <v>8</v>
      </c>
      <c r="R256" s="120" t="n">
        <f aca="false">IF($F$3=1,N256+K256+H256,K256+H256)</f>
        <v>8</v>
      </c>
      <c r="S256" s="120" t="n">
        <f aca="false">IF($F$3=1,O256+L256+I256,L256+I256)</f>
        <v>6.85</v>
      </c>
      <c r="T256" s="121"/>
      <c r="U256" s="67" t="n">
        <f aca="false">A257-A256</f>
        <v>31</v>
      </c>
      <c r="V256" s="122" t="n">
        <f aca="false">CHOOSE(F$3,A257+24,A256)</f>
        <v>44743</v>
      </c>
      <c r="W256" s="67" t="n">
        <f aca="false">V256-C$3</f>
        <v>-1183</v>
      </c>
      <c r="X256" s="118" t="n">
        <f aca="false">VLOOKUP($A256,Table,MATCH(X$4,Curves,0))</f>
        <v>2</v>
      </c>
      <c r="Y256" s="123" t="n">
        <f aca="false">1/(1+CHOOSE(F$3,(X257+($K$3/10000))/2,(X256+($K$3/10000))/2))^(2*W256/365.25)</f>
        <v>89.1247958843577</v>
      </c>
      <c r="Z256" s="67" t="n">
        <f aca="false">IF(AND(mthbeg&lt;=A256,mthend&gt;=A256),1,0)</f>
        <v>0</v>
      </c>
      <c r="AA256" s="67" t="n">
        <f aca="false">U256*Z256</f>
        <v>0</v>
      </c>
      <c r="AC256" s="110" t="n">
        <f aca="false">F256*(H256-I256)</f>
        <v>0</v>
      </c>
      <c r="AD256" s="49"/>
      <c r="AE256" s="124"/>
    </row>
    <row r="257" customFormat="false" ht="12" hidden="false" customHeight="true" outlineLevel="0" collapsed="false">
      <c r="A257" s="115" t="n">
        <f aca="false">EDATE(A256,1)</f>
        <v>44774</v>
      </c>
      <c r="B257" s="116" t="n">
        <f aca="false">'Inputs-Summary'!$B$7</f>
        <v>3017157.21662952</v>
      </c>
      <c r="C257" s="57"/>
      <c r="D257" s="117" t="n">
        <f aca="false">B257+C257</f>
        <v>3017157.21662952</v>
      </c>
      <c r="E257" s="106" t="n">
        <f aca="false">IF(Z257=0,0,IF(AND(Z257=1,$H$3=1),D257*U257,IF($H$3=2,D257,"N/A")))</f>
        <v>0</v>
      </c>
      <c r="F257" s="106" t="n">
        <f aca="false">E257*Y257</f>
        <v>0</v>
      </c>
      <c r="G257" s="118" t="n">
        <f aca="false">VLOOKUP($A257,Table,MATCH(G$4,Curves,0))</f>
        <v>3</v>
      </c>
      <c r="H257" s="119" t="n">
        <f aca="false">G257+$H$7</f>
        <v>3</v>
      </c>
      <c r="I257" s="118" t="n">
        <f aca="false">'Inputs-Summary'!$B$16</f>
        <v>1.85</v>
      </c>
      <c r="J257" s="118" t="n">
        <f aca="false">VLOOKUP($A257,Table,MATCH(J$4,Curves,0))</f>
        <v>5</v>
      </c>
      <c r="K257" s="119" t="n">
        <f aca="false">J257+$K$7</f>
        <v>5</v>
      </c>
      <c r="L257" s="120" t="n">
        <f aca="false">K257</f>
        <v>5</v>
      </c>
      <c r="M257" s="118" t="n">
        <f aca="false">VLOOKUP($A257,Table,MATCH(M$4,Curves,0))</f>
        <v>5</v>
      </c>
      <c r="N257" s="119" t="n">
        <f aca="false">M257+$N$7</f>
        <v>5</v>
      </c>
      <c r="O257" s="120" t="n">
        <f aca="false">N257</f>
        <v>5</v>
      </c>
      <c r="P257" s="109"/>
      <c r="Q257" s="120" t="n">
        <f aca="false">IF($F$3=1,M257+J257+G257,J257+G257)</f>
        <v>8</v>
      </c>
      <c r="R257" s="120" t="n">
        <f aca="false">IF($F$3=1,N257+K257+H257,K257+H257)</f>
        <v>8</v>
      </c>
      <c r="S257" s="120" t="n">
        <f aca="false">IF($F$3=1,O257+L257+I257,L257+I257)</f>
        <v>6.85</v>
      </c>
      <c r="T257" s="121"/>
      <c r="U257" s="67" t="n">
        <f aca="false">A258-A257</f>
        <v>31</v>
      </c>
      <c r="V257" s="122" t="n">
        <f aca="false">CHOOSE(F$3,A258+24,A257)</f>
        <v>44774</v>
      </c>
      <c r="W257" s="67" t="n">
        <f aca="false">V257-C$3</f>
        <v>-1152</v>
      </c>
      <c r="X257" s="118" t="n">
        <f aca="false">VLOOKUP($A257,Table,MATCH(X$4,Curves,0))</f>
        <v>2</v>
      </c>
      <c r="Y257" s="123" t="n">
        <f aca="false">1/(1+CHOOSE(F$3,(X258+($K$3/10000))/2,(X257+($K$3/10000))/2))^(2*W257/365.25)</f>
        <v>79.2318296950177</v>
      </c>
      <c r="Z257" s="67" t="n">
        <f aca="false">IF(AND(mthbeg&lt;=A257,mthend&gt;=A257),1,0)</f>
        <v>0</v>
      </c>
      <c r="AA257" s="67" t="n">
        <f aca="false">U257*Z257</f>
        <v>0</v>
      </c>
      <c r="AC257" s="110" t="n">
        <f aca="false">F257*(H257-I257)</f>
        <v>0</v>
      </c>
      <c r="AD257" s="49"/>
      <c r="AE257" s="124"/>
    </row>
    <row r="258" customFormat="false" ht="12" hidden="false" customHeight="true" outlineLevel="0" collapsed="false">
      <c r="A258" s="115" t="n">
        <f aca="false">EDATE(A257,1)</f>
        <v>44805</v>
      </c>
      <c r="B258" s="116" t="n">
        <f aca="false">'Inputs-Summary'!$B$7</f>
        <v>3017157.21662952</v>
      </c>
      <c r="C258" s="57"/>
      <c r="D258" s="117" t="n">
        <f aca="false">B258+C258</f>
        <v>3017157.21662952</v>
      </c>
      <c r="E258" s="106" t="n">
        <f aca="false">IF(Z258=0,0,IF(AND(Z258=1,$H$3=1),D258*U258,IF($H$3=2,D258,"N/A")))</f>
        <v>0</v>
      </c>
      <c r="F258" s="106" t="n">
        <f aca="false">E258*Y258</f>
        <v>0</v>
      </c>
      <c r="G258" s="118" t="n">
        <f aca="false">VLOOKUP($A258,Table,MATCH(G$4,Curves,0))</f>
        <v>3</v>
      </c>
      <c r="H258" s="119" t="n">
        <f aca="false">G258+$H$7</f>
        <v>3</v>
      </c>
      <c r="I258" s="118" t="n">
        <f aca="false">'Inputs-Summary'!$B$16</f>
        <v>1.85</v>
      </c>
      <c r="J258" s="118" t="n">
        <f aca="false">VLOOKUP($A258,Table,MATCH(J$4,Curves,0))</f>
        <v>5</v>
      </c>
      <c r="K258" s="119" t="n">
        <f aca="false">J258+$K$7</f>
        <v>5</v>
      </c>
      <c r="L258" s="120" t="n">
        <f aca="false">K258</f>
        <v>5</v>
      </c>
      <c r="M258" s="118" t="n">
        <f aca="false">VLOOKUP($A258,Table,MATCH(M$4,Curves,0))</f>
        <v>5</v>
      </c>
      <c r="N258" s="119" t="n">
        <f aca="false">M258+$N$7</f>
        <v>5</v>
      </c>
      <c r="O258" s="120" t="n">
        <f aca="false">N258</f>
        <v>5</v>
      </c>
      <c r="P258" s="109"/>
      <c r="Q258" s="120" t="n">
        <f aca="false">IF($F$3=1,M258+J258+G258,J258+G258)</f>
        <v>8</v>
      </c>
      <c r="R258" s="120" t="n">
        <f aca="false">IF($F$3=1,N258+K258+H258,K258+H258)</f>
        <v>8</v>
      </c>
      <c r="S258" s="120" t="n">
        <f aca="false">IF($F$3=1,O258+L258+I258,L258+I258)</f>
        <v>6.85</v>
      </c>
      <c r="T258" s="121"/>
      <c r="U258" s="67" t="n">
        <f aca="false">A259-A258</f>
        <v>30</v>
      </c>
      <c r="V258" s="122" t="n">
        <f aca="false">CHOOSE(F$3,A259+24,A258)</f>
        <v>44805</v>
      </c>
      <c r="W258" s="67" t="n">
        <f aca="false">V258-C$3</f>
        <v>-1121</v>
      </c>
      <c r="X258" s="118" t="n">
        <f aca="false">VLOOKUP($A258,Table,MATCH(X$4,Curves,0))</f>
        <v>2</v>
      </c>
      <c r="Y258" s="123" t="n">
        <f aca="false">1/(1+CHOOSE(F$3,(X259+($K$3/10000))/2,(X258+($K$3/10000))/2))^(2*W258/365.25)</f>
        <v>70.4369953897654</v>
      </c>
      <c r="Z258" s="67" t="n">
        <f aca="false">IF(AND(mthbeg&lt;=A258,mthend&gt;=A258),1,0)</f>
        <v>0</v>
      </c>
      <c r="AA258" s="67" t="n">
        <f aca="false">U258*Z258</f>
        <v>0</v>
      </c>
      <c r="AC258" s="110" t="n">
        <f aca="false">F258*(H258-I258)</f>
        <v>0</v>
      </c>
      <c r="AD258" s="49"/>
      <c r="AE258" s="124"/>
    </row>
    <row r="259" customFormat="false" ht="12" hidden="false" customHeight="true" outlineLevel="0" collapsed="false">
      <c r="A259" s="115" t="n">
        <f aca="false">EDATE(A258,1)</f>
        <v>44835</v>
      </c>
      <c r="B259" s="116" t="n">
        <f aca="false">'Inputs-Summary'!$B$7</f>
        <v>3017157.21662952</v>
      </c>
      <c r="C259" s="57"/>
      <c r="D259" s="117" t="n">
        <f aca="false">B259+C259</f>
        <v>3017157.21662952</v>
      </c>
      <c r="E259" s="106" t="n">
        <f aca="false">IF(Z259=0,0,IF(AND(Z259=1,$H$3=1),D259*U259,IF($H$3=2,D259,"N/A")))</f>
        <v>0</v>
      </c>
      <c r="F259" s="106" t="n">
        <f aca="false">E259*Y259</f>
        <v>0</v>
      </c>
      <c r="G259" s="118" t="n">
        <f aca="false">VLOOKUP($A259,Table,MATCH(G$4,Curves,0))</f>
        <v>3</v>
      </c>
      <c r="H259" s="119" t="n">
        <f aca="false">G259+$H$7</f>
        <v>3</v>
      </c>
      <c r="I259" s="118" t="n">
        <f aca="false">'Inputs-Summary'!$B$16</f>
        <v>1.85</v>
      </c>
      <c r="J259" s="118" t="n">
        <f aca="false">VLOOKUP($A259,Table,MATCH(J$4,Curves,0))</f>
        <v>5</v>
      </c>
      <c r="K259" s="119" t="n">
        <f aca="false">J259+$K$7</f>
        <v>5</v>
      </c>
      <c r="L259" s="120" t="n">
        <f aca="false">K259</f>
        <v>5</v>
      </c>
      <c r="M259" s="118" t="n">
        <f aca="false">VLOOKUP($A259,Table,MATCH(M$4,Curves,0))</f>
        <v>5</v>
      </c>
      <c r="N259" s="119" t="n">
        <f aca="false">M259+$N$7</f>
        <v>5</v>
      </c>
      <c r="O259" s="120" t="n">
        <f aca="false">N259</f>
        <v>5</v>
      </c>
      <c r="P259" s="109"/>
      <c r="Q259" s="120" t="n">
        <f aca="false">IF($F$3=1,M259+J259+G259,J259+G259)</f>
        <v>8</v>
      </c>
      <c r="R259" s="120" t="n">
        <f aca="false">IF($F$3=1,N259+K259+H259,K259+H259)</f>
        <v>8</v>
      </c>
      <c r="S259" s="120" t="n">
        <f aca="false">IF($F$3=1,O259+L259+I259,L259+I259)</f>
        <v>6.85</v>
      </c>
      <c r="T259" s="121"/>
      <c r="U259" s="67" t="n">
        <f aca="false">A260-A259</f>
        <v>31</v>
      </c>
      <c r="V259" s="122" t="n">
        <f aca="false">CHOOSE(F$3,A260+24,A259)</f>
        <v>44835</v>
      </c>
      <c r="W259" s="67" t="n">
        <f aca="false">V259-C$3</f>
        <v>-1091</v>
      </c>
      <c r="X259" s="118" t="n">
        <f aca="false">VLOOKUP($A259,Table,MATCH(X$4,Curves,0))</f>
        <v>2</v>
      </c>
      <c r="Y259" s="123" t="n">
        <f aca="false">1/(1+CHOOSE(F$3,(X260+($K$3/10000))/2,(X259+($K$3/10000))/2))^(2*W259/365.25)</f>
        <v>62.8565165982483</v>
      </c>
      <c r="Z259" s="67" t="n">
        <f aca="false">IF(AND(mthbeg&lt;=A259,mthend&gt;=A259),1,0)</f>
        <v>0</v>
      </c>
      <c r="AA259" s="67" t="n">
        <f aca="false">U259*Z259</f>
        <v>0</v>
      </c>
      <c r="AC259" s="110" t="n">
        <f aca="false">F259*(H259-I259)</f>
        <v>0</v>
      </c>
      <c r="AD259" s="49"/>
      <c r="AE259" s="124"/>
    </row>
    <row r="260" customFormat="false" ht="12" hidden="false" customHeight="true" outlineLevel="0" collapsed="false">
      <c r="A260" s="115" t="n">
        <f aca="false">EDATE(A259,1)</f>
        <v>44866</v>
      </c>
      <c r="B260" s="116" t="n">
        <f aca="false">'Inputs-Summary'!$B$7</f>
        <v>3017157.21662952</v>
      </c>
      <c r="C260" s="57"/>
      <c r="D260" s="117" t="n">
        <f aca="false">B260+C260</f>
        <v>3017157.21662952</v>
      </c>
      <c r="E260" s="106" t="n">
        <f aca="false">IF(Z260=0,0,IF(AND(Z260=1,$H$3=1),D260*U260,IF($H$3=2,D260,"N/A")))</f>
        <v>0</v>
      </c>
      <c r="F260" s="106" t="n">
        <f aca="false">E260*Y260</f>
        <v>0</v>
      </c>
      <c r="G260" s="118" t="n">
        <f aca="false">VLOOKUP($A260,Table,MATCH(G$4,Curves,0))</f>
        <v>3</v>
      </c>
      <c r="H260" s="119" t="n">
        <f aca="false">G260+$H$7</f>
        <v>3</v>
      </c>
      <c r="I260" s="118" t="n">
        <f aca="false">'Inputs-Summary'!$B$16</f>
        <v>1.85</v>
      </c>
      <c r="J260" s="118" t="n">
        <f aca="false">VLOOKUP($A260,Table,MATCH(J$4,Curves,0))</f>
        <v>5</v>
      </c>
      <c r="K260" s="119" t="n">
        <f aca="false">J260+$K$7</f>
        <v>5</v>
      </c>
      <c r="L260" s="120" t="n">
        <f aca="false">K260</f>
        <v>5</v>
      </c>
      <c r="M260" s="118" t="n">
        <f aca="false">VLOOKUP($A260,Table,MATCH(M$4,Curves,0))</f>
        <v>5</v>
      </c>
      <c r="N260" s="119" t="n">
        <f aca="false">M260+$N$7</f>
        <v>5</v>
      </c>
      <c r="O260" s="120" t="n">
        <f aca="false">N260</f>
        <v>5</v>
      </c>
      <c r="P260" s="109"/>
      <c r="Q260" s="120" t="n">
        <f aca="false">IF($F$3=1,M260+J260+G260,J260+G260)</f>
        <v>8</v>
      </c>
      <c r="R260" s="120" t="n">
        <f aca="false">IF($F$3=1,N260+K260+H260,K260+H260)</f>
        <v>8</v>
      </c>
      <c r="S260" s="120" t="n">
        <f aca="false">IF($F$3=1,O260+L260+I260,L260+I260)</f>
        <v>6.85</v>
      </c>
      <c r="T260" s="121"/>
      <c r="U260" s="67" t="n">
        <f aca="false">A261-A260</f>
        <v>30</v>
      </c>
      <c r="V260" s="122" t="n">
        <f aca="false">CHOOSE(F$3,A261+24,A260)</f>
        <v>44866</v>
      </c>
      <c r="W260" s="67" t="n">
        <f aca="false">V260-C$3</f>
        <v>-1060</v>
      </c>
      <c r="X260" s="118" t="n">
        <f aca="false">VLOOKUP($A260,Table,MATCH(X$4,Curves,0))</f>
        <v>2</v>
      </c>
      <c r="Y260" s="123" t="n">
        <f aca="false">1/(1+CHOOSE(F$3,(X261+($K$3/10000))/2,(X260+($K$3/10000))/2))^(2*W260/365.25)</f>
        <v>55.8793629642247</v>
      </c>
      <c r="Z260" s="67" t="n">
        <f aca="false">IF(AND(mthbeg&lt;=A260,mthend&gt;=A260),1,0)</f>
        <v>0</v>
      </c>
      <c r="AA260" s="67" t="n">
        <f aca="false">U260*Z260</f>
        <v>0</v>
      </c>
      <c r="AC260" s="110" t="n">
        <f aca="false">F260*(H260-I260)</f>
        <v>0</v>
      </c>
      <c r="AD260" s="49"/>
      <c r="AE260" s="124"/>
    </row>
    <row r="261" customFormat="false" ht="12" hidden="false" customHeight="true" outlineLevel="0" collapsed="false">
      <c r="A261" s="115" t="n">
        <f aca="false">EDATE(A260,1)</f>
        <v>44896</v>
      </c>
      <c r="B261" s="116" t="n">
        <f aca="false">'Inputs-Summary'!$B$7</f>
        <v>3017157.21662952</v>
      </c>
      <c r="C261" s="57"/>
      <c r="D261" s="117" t="n">
        <f aca="false">B261+C261</f>
        <v>3017157.21662952</v>
      </c>
      <c r="E261" s="106" t="n">
        <f aca="false">IF(Z261=0,0,IF(AND(Z261=1,$H$3=1),D261*U261,IF($H$3=2,D261,"N/A")))</f>
        <v>0</v>
      </c>
      <c r="F261" s="106" t="n">
        <f aca="false">E261*Y261</f>
        <v>0</v>
      </c>
      <c r="G261" s="118" t="n">
        <f aca="false">VLOOKUP($A261,Table,MATCH(G$4,Curves,0))</f>
        <v>3</v>
      </c>
      <c r="H261" s="119" t="n">
        <f aca="false">G261+$H$7</f>
        <v>3</v>
      </c>
      <c r="I261" s="118" t="n">
        <f aca="false">'Inputs-Summary'!$B$16</f>
        <v>1.85</v>
      </c>
      <c r="J261" s="118" t="n">
        <f aca="false">VLOOKUP($A261,Table,MATCH(J$4,Curves,0))</f>
        <v>5</v>
      </c>
      <c r="K261" s="119" t="n">
        <f aca="false">J261+$K$7</f>
        <v>5</v>
      </c>
      <c r="L261" s="120" t="n">
        <f aca="false">K261</f>
        <v>5</v>
      </c>
      <c r="M261" s="118" t="n">
        <f aca="false">VLOOKUP($A261,Table,MATCH(M$4,Curves,0))</f>
        <v>5</v>
      </c>
      <c r="N261" s="119" t="n">
        <f aca="false">M261+$N$7</f>
        <v>5</v>
      </c>
      <c r="O261" s="120" t="n">
        <f aca="false">N261</f>
        <v>5</v>
      </c>
      <c r="P261" s="109"/>
      <c r="Q261" s="120" t="n">
        <f aca="false">IF($F$3=1,M261+J261+G261,J261+G261)</f>
        <v>8</v>
      </c>
      <c r="R261" s="120" t="n">
        <f aca="false">IF($F$3=1,N261+K261+H261,K261+H261)</f>
        <v>8</v>
      </c>
      <c r="S261" s="120" t="n">
        <f aca="false">IF($F$3=1,O261+L261+I261,L261+I261)</f>
        <v>6.85</v>
      </c>
      <c r="T261" s="121"/>
      <c r="U261" s="67" t="n">
        <f aca="false">A262-A261</f>
        <v>31</v>
      </c>
      <c r="V261" s="122" t="n">
        <f aca="false">CHOOSE(F$3,A262+24,A261)</f>
        <v>44896</v>
      </c>
      <c r="W261" s="67" t="n">
        <f aca="false">V261-C$3</f>
        <v>-1030</v>
      </c>
      <c r="X261" s="118" t="n">
        <f aca="false">VLOOKUP($A261,Table,MATCH(X$4,Curves,0))</f>
        <v>2</v>
      </c>
      <c r="Y261" s="123" t="n">
        <f aca="false">1/(1+CHOOSE(F$3,(X262+($K$3/10000))/2,(X261+($K$3/10000))/2))^(2*W261/365.25)</f>
        <v>49.8655867733206</v>
      </c>
      <c r="Z261" s="67" t="n">
        <f aca="false">IF(AND(mthbeg&lt;=A261,mthend&gt;=A261),1,0)</f>
        <v>0</v>
      </c>
      <c r="AA261" s="67" t="n">
        <f aca="false">U261*Z261</f>
        <v>0</v>
      </c>
      <c r="AC261" s="110" t="n">
        <f aca="false">F261*(H261-I261)</f>
        <v>0</v>
      </c>
      <c r="AD261" s="49"/>
      <c r="AE261" s="124"/>
    </row>
    <row r="262" customFormat="false" ht="12" hidden="false" customHeight="true" outlineLevel="0" collapsed="false">
      <c r="A262" s="115" t="n">
        <f aca="false">EDATE(A261,1)</f>
        <v>44927</v>
      </c>
      <c r="B262" s="116" t="n">
        <f aca="false">'Inputs-Summary'!$B$7</f>
        <v>3017157.21662952</v>
      </c>
      <c r="C262" s="57"/>
      <c r="D262" s="117" t="n">
        <f aca="false">B262+C262</f>
        <v>3017157.21662952</v>
      </c>
      <c r="E262" s="106" t="n">
        <f aca="false">IF(Z262=0,0,IF(AND(Z262=1,$H$3=1),D262*U262,IF($H$3=2,D262,"N/A")))</f>
        <v>0</v>
      </c>
      <c r="F262" s="106" t="n">
        <f aca="false">E262*Y262</f>
        <v>0</v>
      </c>
      <c r="G262" s="118" t="n">
        <f aca="false">VLOOKUP($A262,Table,MATCH(G$4,Curves,0))</f>
        <v>3</v>
      </c>
      <c r="H262" s="119" t="n">
        <f aca="false">G262+$H$7</f>
        <v>3</v>
      </c>
      <c r="I262" s="118" t="n">
        <f aca="false">'Inputs-Summary'!$B$16</f>
        <v>1.85</v>
      </c>
      <c r="J262" s="118" t="n">
        <f aca="false">VLOOKUP($A262,Table,MATCH(J$4,Curves,0))</f>
        <v>5</v>
      </c>
      <c r="K262" s="119" t="n">
        <f aca="false">J262+$K$7</f>
        <v>5</v>
      </c>
      <c r="L262" s="120" t="n">
        <f aca="false">K262</f>
        <v>5</v>
      </c>
      <c r="M262" s="118" t="n">
        <f aca="false">VLOOKUP($A262,Table,MATCH(M$4,Curves,0))</f>
        <v>5</v>
      </c>
      <c r="N262" s="119" t="n">
        <f aca="false">M262+$N$7</f>
        <v>5</v>
      </c>
      <c r="O262" s="120" t="n">
        <f aca="false">N262</f>
        <v>5</v>
      </c>
      <c r="P262" s="109"/>
      <c r="Q262" s="120" t="n">
        <f aca="false">IF($F$3=1,M262+J262+G262,J262+G262)</f>
        <v>8</v>
      </c>
      <c r="R262" s="120" t="n">
        <f aca="false">IF($F$3=1,N262+K262+H262,K262+H262)</f>
        <v>8</v>
      </c>
      <c r="S262" s="120" t="n">
        <f aca="false">IF($F$3=1,O262+L262+I262,L262+I262)</f>
        <v>6.85</v>
      </c>
      <c r="T262" s="121"/>
      <c r="U262" s="67" t="n">
        <f aca="false">A263-A262</f>
        <v>31</v>
      </c>
      <c r="V262" s="122" t="n">
        <f aca="false">CHOOSE(F$3,A263+24,A262)</f>
        <v>44927</v>
      </c>
      <c r="W262" s="67" t="n">
        <f aca="false">V262-C$3</f>
        <v>-999</v>
      </c>
      <c r="X262" s="118" t="n">
        <f aca="false">VLOOKUP($A262,Table,MATCH(X$4,Curves,0))</f>
        <v>2</v>
      </c>
      <c r="Y262" s="123" t="n">
        <f aca="false">1/(1+CHOOSE(F$3,(X263+($K$3/10000))/2,(X262+($K$3/10000))/2))^(2*W262/365.25)</f>
        <v>44.3304429442098</v>
      </c>
      <c r="Z262" s="67" t="n">
        <f aca="false">IF(AND(mthbeg&lt;=A262,mthend&gt;=A262),1,0)</f>
        <v>0</v>
      </c>
      <c r="AA262" s="67" t="n">
        <f aca="false">U262*Z262</f>
        <v>0</v>
      </c>
      <c r="AC262" s="110" t="n">
        <f aca="false">F262*(H262-I262)</f>
        <v>0</v>
      </c>
      <c r="AD262" s="49"/>
      <c r="AE262" s="124"/>
    </row>
    <row r="263" customFormat="false" ht="12" hidden="false" customHeight="true" outlineLevel="0" collapsed="false">
      <c r="A263" s="115" t="n">
        <f aca="false">EDATE(A262,1)</f>
        <v>44958</v>
      </c>
      <c r="B263" s="116" t="n">
        <f aca="false">'Inputs-Summary'!$B$7</f>
        <v>3017157.21662952</v>
      </c>
      <c r="C263" s="57"/>
      <c r="D263" s="117" t="n">
        <f aca="false">B263+C263</f>
        <v>3017157.21662952</v>
      </c>
      <c r="E263" s="106" t="n">
        <f aca="false">IF(Z263=0,0,IF(AND(Z263=1,$H$3=1),D263*U263,IF($H$3=2,D263,"N/A")))</f>
        <v>0</v>
      </c>
      <c r="F263" s="106" t="n">
        <f aca="false">E263*Y263</f>
        <v>0</v>
      </c>
      <c r="G263" s="118" t="n">
        <f aca="false">VLOOKUP($A263,Table,MATCH(G$4,Curves,0))</f>
        <v>3</v>
      </c>
      <c r="H263" s="119" t="n">
        <f aca="false">G263+$H$7</f>
        <v>3</v>
      </c>
      <c r="I263" s="118" t="n">
        <f aca="false">'Inputs-Summary'!$B$16</f>
        <v>1.85</v>
      </c>
      <c r="J263" s="118" t="n">
        <f aca="false">VLOOKUP($A263,Table,MATCH(J$4,Curves,0))</f>
        <v>5</v>
      </c>
      <c r="K263" s="119" t="n">
        <f aca="false">J263+$K$7</f>
        <v>5</v>
      </c>
      <c r="L263" s="120" t="n">
        <f aca="false">K263</f>
        <v>5</v>
      </c>
      <c r="M263" s="118" t="n">
        <f aca="false">VLOOKUP($A263,Table,MATCH(M$4,Curves,0))</f>
        <v>5</v>
      </c>
      <c r="N263" s="119" t="n">
        <f aca="false">M263+$N$7</f>
        <v>5</v>
      </c>
      <c r="O263" s="120" t="n">
        <f aca="false">N263</f>
        <v>5</v>
      </c>
      <c r="P263" s="109"/>
      <c r="Q263" s="120" t="n">
        <f aca="false">IF($F$3=1,M263+J263+G263,J263+G263)</f>
        <v>8</v>
      </c>
      <c r="R263" s="120" t="n">
        <f aca="false">IF($F$3=1,N263+K263+H263,K263+H263)</f>
        <v>8</v>
      </c>
      <c r="S263" s="120" t="n">
        <f aca="false">IF($F$3=1,O263+L263+I263,L263+I263)</f>
        <v>6.85</v>
      </c>
      <c r="T263" s="121"/>
      <c r="U263" s="67" t="n">
        <f aca="false">A264-A263</f>
        <v>28</v>
      </c>
      <c r="V263" s="122" t="n">
        <f aca="false">CHOOSE(F$3,A264+24,A263)</f>
        <v>44958</v>
      </c>
      <c r="W263" s="67" t="n">
        <f aca="false">V263-C$3</f>
        <v>-968</v>
      </c>
      <c r="X263" s="118" t="n">
        <f aca="false">VLOOKUP($A263,Table,MATCH(X$4,Curves,0))</f>
        <v>2</v>
      </c>
      <c r="Y263" s="123" t="n">
        <f aca="false">1/(1+CHOOSE(F$3,(X264+($K$3/10000))/2,(X263+($K$3/10000))/2))^(2*W263/365.25)</f>
        <v>39.4097071506089</v>
      </c>
      <c r="Z263" s="67" t="n">
        <f aca="false">IF(AND(mthbeg&lt;=A263,mthend&gt;=A263),1,0)</f>
        <v>0</v>
      </c>
      <c r="AA263" s="67" t="n">
        <f aca="false">U263*Z263</f>
        <v>0</v>
      </c>
      <c r="AC263" s="110" t="n">
        <f aca="false">F263*(H263-I263)</f>
        <v>0</v>
      </c>
      <c r="AD263" s="49"/>
      <c r="AE263" s="124"/>
    </row>
    <row r="264" customFormat="false" ht="12" hidden="false" customHeight="true" outlineLevel="0" collapsed="false">
      <c r="A264" s="115" t="n">
        <f aca="false">EDATE(A263,1)</f>
        <v>44986</v>
      </c>
      <c r="B264" s="116" t="n">
        <f aca="false">'Inputs-Summary'!$B$7</f>
        <v>3017157.21662952</v>
      </c>
      <c r="C264" s="57"/>
      <c r="D264" s="117" t="n">
        <f aca="false">B264+C264</f>
        <v>3017157.21662952</v>
      </c>
      <c r="E264" s="106" t="n">
        <f aca="false">IF(Z264=0,0,IF(AND(Z264=1,$H$3=1),D264*U264,IF($H$3=2,D264,"N/A")))</f>
        <v>0</v>
      </c>
      <c r="F264" s="106" t="n">
        <f aca="false">E264*Y264</f>
        <v>0</v>
      </c>
      <c r="G264" s="118" t="n">
        <f aca="false">VLOOKUP($A264,Table,MATCH(G$4,Curves,0))</f>
        <v>3</v>
      </c>
      <c r="H264" s="119" t="n">
        <f aca="false">G264+$H$7</f>
        <v>3</v>
      </c>
      <c r="I264" s="118" t="n">
        <f aca="false">'Inputs-Summary'!$B$16</f>
        <v>1.85</v>
      </c>
      <c r="J264" s="118" t="n">
        <f aca="false">VLOOKUP($A264,Table,MATCH(J$4,Curves,0))</f>
        <v>5</v>
      </c>
      <c r="K264" s="119" t="n">
        <f aca="false">J264+$K$7</f>
        <v>5</v>
      </c>
      <c r="L264" s="120" t="n">
        <f aca="false">K264</f>
        <v>5</v>
      </c>
      <c r="M264" s="118" t="n">
        <f aca="false">VLOOKUP($A264,Table,MATCH(M$4,Curves,0))</f>
        <v>5</v>
      </c>
      <c r="N264" s="119" t="n">
        <f aca="false">M264+$N$7</f>
        <v>5</v>
      </c>
      <c r="O264" s="120" t="n">
        <f aca="false">N264</f>
        <v>5</v>
      </c>
      <c r="P264" s="109"/>
      <c r="Q264" s="120" t="n">
        <f aca="false">IF($F$3=1,M264+J264+G264,J264+G264)</f>
        <v>8</v>
      </c>
      <c r="R264" s="120" t="n">
        <f aca="false">IF($F$3=1,N264+K264+H264,K264+H264)</f>
        <v>8</v>
      </c>
      <c r="S264" s="120" t="n">
        <f aca="false">IF($F$3=1,O264+L264+I264,L264+I264)</f>
        <v>6.85</v>
      </c>
      <c r="T264" s="121"/>
      <c r="U264" s="67" t="n">
        <f aca="false">A265-A264</f>
        <v>31</v>
      </c>
      <c r="V264" s="122" t="n">
        <f aca="false">CHOOSE(F$3,A265+24,A264)</f>
        <v>44986</v>
      </c>
      <c r="W264" s="67" t="n">
        <f aca="false">V264-C$3</f>
        <v>-940</v>
      </c>
      <c r="X264" s="118" t="n">
        <f aca="false">VLOOKUP($A264,Table,MATCH(X$4,Curves,0))</f>
        <v>2</v>
      </c>
      <c r="Y264" s="123" t="n">
        <f aca="false">1/(1+CHOOSE(F$3,(X265+($K$3/10000))/2,(X264+($K$3/10000))/2))^(2*W264/365.25)</f>
        <v>35.436383730434</v>
      </c>
      <c r="Z264" s="67" t="n">
        <f aca="false">IF(AND(mthbeg&lt;=A264,mthend&gt;=A264),1,0)</f>
        <v>0</v>
      </c>
      <c r="AA264" s="67" t="n">
        <f aca="false">U264*Z264</f>
        <v>0</v>
      </c>
      <c r="AC264" s="110" t="n">
        <f aca="false">F264*(H264-I264)</f>
        <v>0</v>
      </c>
      <c r="AD264" s="49"/>
      <c r="AE264" s="124"/>
    </row>
    <row r="265" customFormat="false" ht="12" hidden="false" customHeight="true" outlineLevel="0" collapsed="false">
      <c r="A265" s="115" t="n">
        <f aca="false">EDATE(A264,1)</f>
        <v>45017</v>
      </c>
      <c r="B265" s="116" t="n">
        <f aca="false">'Inputs-Summary'!$B$7</f>
        <v>3017157.21662952</v>
      </c>
      <c r="C265" s="57"/>
      <c r="D265" s="117" t="n">
        <f aca="false">B265+C265</f>
        <v>3017157.21662952</v>
      </c>
      <c r="E265" s="106" t="n">
        <f aca="false">IF(Z265=0,0,IF(AND(Z265=1,$H$3=1),D265*U265,IF($H$3=2,D265,"N/A")))</f>
        <v>0</v>
      </c>
      <c r="F265" s="106" t="n">
        <f aca="false">E265*Y265</f>
        <v>0</v>
      </c>
      <c r="G265" s="118" t="n">
        <f aca="false">VLOOKUP($A265,Table,MATCH(G$4,Curves,0))</f>
        <v>3</v>
      </c>
      <c r="H265" s="119" t="n">
        <f aca="false">G265+$H$7</f>
        <v>3</v>
      </c>
      <c r="I265" s="118" t="n">
        <f aca="false">'Inputs-Summary'!$B$16</f>
        <v>1.85</v>
      </c>
      <c r="J265" s="118" t="n">
        <f aca="false">VLOOKUP($A265,Table,MATCH(J$4,Curves,0))</f>
        <v>5</v>
      </c>
      <c r="K265" s="119" t="n">
        <f aca="false">J265+$K$7</f>
        <v>5</v>
      </c>
      <c r="L265" s="120" t="n">
        <f aca="false">K265</f>
        <v>5</v>
      </c>
      <c r="M265" s="118" t="n">
        <f aca="false">VLOOKUP($A265,Table,MATCH(M$4,Curves,0))</f>
        <v>5</v>
      </c>
      <c r="N265" s="119" t="n">
        <f aca="false">M265+$N$7</f>
        <v>5</v>
      </c>
      <c r="O265" s="120" t="n">
        <f aca="false">N265</f>
        <v>5</v>
      </c>
      <c r="P265" s="109"/>
      <c r="Q265" s="120" t="n">
        <f aca="false">IF($F$3=1,M265+J265+G265,J265+G265)</f>
        <v>8</v>
      </c>
      <c r="R265" s="120" t="n">
        <f aca="false">IF($F$3=1,N265+K265+H265,K265+H265)</f>
        <v>8</v>
      </c>
      <c r="S265" s="120" t="n">
        <f aca="false">IF($F$3=1,O265+L265+I265,L265+I265)</f>
        <v>6.85</v>
      </c>
      <c r="T265" s="121"/>
      <c r="U265" s="67" t="n">
        <f aca="false">A266-A265</f>
        <v>30</v>
      </c>
      <c r="V265" s="122" t="n">
        <f aca="false">CHOOSE(F$3,A266+24,A265)</f>
        <v>45017</v>
      </c>
      <c r="W265" s="67" t="n">
        <f aca="false">V265-C$3</f>
        <v>-909</v>
      </c>
      <c r="X265" s="118" t="n">
        <f aca="false">VLOOKUP($A265,Table,MATCH(X$4,Curves,0))</f>
        <v>2</v>
      </c>
      <c r="Y265" s="123" t="n">
        <f aca="false">1/(1+CHOOSE(F$3,(X266+($K$3/10000))/2,(X265+($K$3/10000))/2))^(2*W265/365.25)</f>
        <v>31.50289987065</v>
      </c>
      <c r="Z265" s="67" t="n">
        <f aca="false">IF(AND(mthbeg&lt;=A265,mthend&gt;=A265),1,0)</f>
        <v>0</v>
      </c>
      <c r="AA265" s="67" t="n">
        <f aca="false">U265*Z265</f>
        <v>0</v>
      </c>
      <c r="AC265" s="110" t="n">
        <f aca="false">F265*(H265-I265)</f>
        <v>0</v>
      </c>
      <c r="AD265" s="49"/>
      <c r="AE265" s="124"/>
    </row>
    <row r="266" customFormat="false" ht="12" hidden="false" customHeight="true" outlineLevel="0" collapsed="false">
      <c r="A266" s="115" t="n">
        <f aca="false">EDATE(A265,1)</f>
        <v>45047</v>
      </c>
      <c r="B266" s="116" t="n">
        <f aca="false">'Inputs-Summary'!$B$7</f>
        <v>3017157.21662952</v>
      </c>
      <c r="C266" s="57"/>
      <c r="D266" s="117" t="n">
        <f aca="false">B266+C266</f>
        <v>3017157.21662952</v>
      </c>
      <c r="E266" s="106" t="n">
        <f aca="false">IF(Z266=0,0,IF(AND(Z266=1,$H$3=1),D266*U266,IF($H$3=2,D266,"N/A")))</f>
        <v>0</v>
      </c>
      <c r="F266" s="106" t="n">
        <f aca="false">E266*Y266</f>
        <v>0</v>
      </c>
      <c r="G266" s="118" t="n">
        <f aca="false">VLOOKUP($A266,Table,MATCH(G$4,Curves,0))</f>
        <v>3</v>
      </c>
      <c r="H266" s="119" t="n">
        <f aca="false">G266+$H$7</f>
        <v>3</v>
      </c>
      <c r="I266" s="118" t="n">
        <f aca="false">'Inputs-Summary'!$B$16</f>
        <v>1.85</v>
      </c>
      <c r="J266" s="118" t="n">
        <f aca="false">VLOOKUP($A266,Table,MATCH(J$4,Curves,0))</f>
        <v>5</v>
      </c>
      <c r="K266" s="119" t="n">
        <f aca="false">J266+$K$7</f>
        <v>5</v>
      </c>
      <c r="L266" s="120" t="n">
        <f aca="false">K266</f>
        <v>5</v>
      </c>
      <c r="M266" s="118" t="n">
        <f aca="false">VLOOKUP($A266,Table,MATCH(M$4,Curves,0))</f>
        <v>5</v>
      </c>
      <c r="N266" s="119" t="n">
        <f aca="false">M266+$N$7</f>
        <v>5</v>
      </c>
      <c r="O266" s="120" t="n">
        <f aca="false">N266</f>
        <v>5</v>
      </c>
      <c r="P266" s="109"/>
      <c r="Q266" s="120" t="n">
        <f aca="false">IF($F$3=1,M266+J266+G266,J266+G266)</f>
        <v>8</v>
      </c>
      <c r="R266" s="120" t="n">
        <f aca="false">IF($F$3=1,N266+K266+H266,K266+H266)</f>
        <v>8</v>
      </c>
      <c r="S266" s="120" t="n">
        <f aca="false">IF($F$3=1,O266+L266+I266,L266+I266)</f>
        <v>6.85</v>
      </c>
      <c r="T266" s="121"/>
      <c r="U266" s="67" t="n">
        <f aca="false">A267-A266</f>
        <v>31</v>
      </c>
      <c r="V266" s="122" t="n">
        <f aca="false">CHOOSE(F$3,A267+24,A266)</f>
        <v>45047</v>
      </c>
      <c r="W266" s="67" t="n">
        <f aca="false">V266-C$3</f>
        <v>-879</v>
      </c>
      <c r="X266" s="118" t="n">
        <f aca="false">VLOOKUP($A266,Table,MATCH(X$4,Curves,0))</f>
        <v>2</v>
      </c>
      <c r="Y266" s="123" t="n">
        <f aca="false">1/(1+CHOOSE(F$3,(X267+($K$3/10000))/2,(X266+($K$3/10000))/2))^(2*W266/365.25)</f>
        <v>28.1125357158575</v>
      </c>
      <c r="Z266" s="67" t="n">
        <f aca="false">IF(AND(mthbeg&lt;=A266,mthend&gt;=A266),1,0)</f>
        <v>0</v>
      </c>
      <c r="AA266" s="67" t="n">
        <f aca="false">U266*Z266</f>
        <v>0</v>
      </c>
      <c r="AC266" s="110" t="n">
        <f aca="false">F266*(H266-I266)</f>
        <v>0</v>
      </c>
      <c r="AD266" s="49"/>
      <c r="AE266" s="124"/>
    </row>
    <row r="267" customFormat="false" ht="12" hidden="false" customHeight="true" outlineLevel="0" collapsed="false">
      <c r="A267" s="115" t="n">
        <f aca="false">EDATE(A266,1)</f>
        <v>45078</v>
      </c>
      <c r="B267" s="116" t="n">
        <f aca="false">'Inputs-Summary'!$B$7</f>
        <v>3017157.21662952</v>
      </c>
      <c r="C267" s="57"/>
      <c r="D267" s="117" t="n">
        <f aca="false">B267+C267</f>
        <v>3017157.21662952</v>
      </c>
      <c r="E267" s="106" t="n">
        <f aca="false">IF(Z267=0,0,IF(AND(Z267=1,$H$3=1),D267*U267,IF($H$3=2,D267,"N/A")))</f>
        <v>0</v>
      </c>
      <c r="F267" s="106" t="n">
        <f aca="false">E267*Y267</f>
        <v>0</v>
      </c>
      <c r="G267" s="118" t="n">
        <f aca="false">VLOOKUP($A267,Table,MATCH(G$4,Curves,0))</f>
        <v>3</v>
      </c>
      <c r="H267" s="119" t="n">
        <f aca="false">G267+$H$7</f>
        <v>3</v>
      </c>
      <c r="I267" s="118" t="n">
        <f aca="false">'Inputs-Summary'!$B$16</f>
        <v>1.85</v>
      </c>
      <c r="J267" s="118" t="n">
        <f aca="false">VLOOKUP($A267,Table,MATCH(J$4,Curves,0))</f>
        <v>5</v>
      </c>
      <c r="K267" s="119" t="n">
        <f aca="false">J267+$K$7</f>
        <v>5</v>
      </c>
      <c r="L267" s="120" t="n">
        <f aca="false">K267</f>
        <v>5</v>
      </c>
      <c r="M267" s="118" t="n">
        <f aca="false">VLOOKUP($A267,Table,MATCH(M$4,Curves,0))</f>
        <v>5</v>
      </c>
      <c r="N267" s="119" t="n">
        <f aca="false">M267+$N$7</f>
        <v>5</v>
      </c>
      <c r="O267" s="120" t="n">
        <f aca="false">N267</f>
        <v>5</v>
      </c>
      <c r="P267" s="109"/>
      <c r="Q267" s="120" t="n">
        <f aca="false">IF($F$3=1,M267+J267+G267,J267+G267)</f>
        <v>8</v>
      </c>
      <c r="R267" s="120" t="n">
        <f aca="false">IF($F$3=1,N267+K267+H267,K267+H267)</f>
        <v>8</v>
      </c>
      <c r="S267" s="120" t="n">
        <f aca="false">IF($F$3=1,O267+L267+I267,L267+I267)</f>
        <v>6.85</v>
      </c>
      <c r="T267" s="121"/>
      <c r="U267" s="67" t="n">
        <f aca="false">A268-A267</f>
        <v>30</v>
      </c>
      <c r="V267" s="122" t="n">
        <f aca="false">CHOOSE(F$3,A268+24,A267)</f>
        <v>45078</v>
      </c>
      <c r="W267" s="67" t="n">
        <f aca="false">V267-C$3</f>
        <v>-848</v>
      </c>
      <c r="X267" s="118" t="n">
        <f aca="false">VLOOKUP($A267,Table,MATCH(X$4,Curves,0))</f>
        <v>2</v>
      </c>
      <c r="Y267" s="123" t="n">
        <f aca="false">1/(1+CHOOSE(F$3,(X268+($K$3/10000))/2,(X267+($K$3/10000))/2))^(2*W267/365.25)</f>
        <v>24.9920083410239</v>
      </c>
      <c r="Z267" s="67" t="n">
        <f aca="false">IF(AND(mthbeg&lt;=A267,mthend&gt;=A267),1,0)</f>
        <v>0</v>
      </c>
      <c r="AA267" s="67" t="n">
        <f aca="false">U267*Z267</f>
        <v>0</v>
      </c>
      <c r="AC267" s="110" t="n">
        <f aca="false">F267*(H267-I267)</f>
        <v>0</v>
      </c>
      <c r="AD267" s="49"/>
      <c r="AE267" s="124"/>
    </row>
    <row r="268" customFormat="false" ht="12" hidden="false" customHeight="true" outlineLevel="0" collapsed="false">
      <c r="A268" s="115" t="n">
        <f aca="false">EDATE(A267,1)</f>
        <v>45108</v>
      </c>
      <c r="B268" s="116" t="n">
        <f aca="false">'Inputs-Summary'!$B$7</f>
        <v>3017157.21662952</v>
      </c>
      <c r="C268" s="57"/>
      <c r="D268" s="117" t="n">
        <f aca="false">B268+C268</f>
        <v>3017157.21662952</v>
      </c>
      <c r="E268" s="106" t="n">
        <f aca="false">IF(Z268=0,0,IF(AND(Z268=1,$H$3=1),D268*U268,IF($H$3=2,D268,"N/A")))</f>
        <v>0</v>
      </c>
      <c r="F268" s="106" t="n">
        <f aca="false">E268*Y268</f>
        <v>0</v>
      </c>
      <c r="G268" s="118" t="n">
        <f aca="false">VLOOKUP($A268,Table,MATCH(G$4,Curves,0))</f>
        <v>3</v>
      </c>
      <c r="H268" s="119" t="n">
        <f aca="false">G268+$H$7</f>
        <v>3</v>
      </c>
      <c r="I268" s="118" t="n">
        <f aca="false">'Inputs-Summary'!$B$16</f>
        <v>1.85</v>
      </c>
      <c r="J268" s="118" t="n">
        <f aca="false">VLOOKUP($A268,Table,MATCH(J$4,Curves,0))</f>
        <v>5</v>
      </c>
      <c r="K268" s="119" t="n">
        <f aca="false">J268+$K$7</f>
        <v>5</v>
      </c>
      <c r="L268" s="120" t="n">
        <f aca="false">K268</f>
        <v>5</v>
      </c>
      <c r="M268" s="118" t="n">
        <f aca="false">VLOOKUP($A268,Table,MATCH(M$4,Curves,0))</f>
        <v>5</v>
      </c>
      <c r="N268" s="119" t="n">
        <f aca="false">M268+$N$7</f>
        <v>5</v>
      </c>
      <c r="O268" s="120" t="n">
        <f aca="false">N268</f>
        <v>5</v>
      </c>
      <c r="P268" s="109"/>
      <c r="Q268" s="120" t="n">
        <f aca="false">IF($F$3=1,M268+J268+G268,J268+G268)</f>
        <v>8</v>
      </c>
      <c r="R268" s="120" t="n">
        <f aca="false">IF($F$3=1,N268+K268+H268,K268+H268)</f>
        <v>8</v>
      </c>
      <c r="S268" s="120" t="n">
        <f aca="false">IF($F$3=1,O268+L268+I268,L268+I268)</f>
        <v>6.85</v>
      </c>
      <c r="T268" s="121"/>
      <c r="U268" s="67" t="n">
        <f aca="false">A269-A268</f>
        <v>31</v>
      </c>
      <c r="V268" s="122" t="n">
        <f aca="false">CHOOSE(F$3,A269+24,A268)</f>
        <v>45108</v>
      </c>
      <c r="W268" s="67" t="n">
        <f aca="false">V268-C$3</f>
        <v>-818</v>
      </c>
      <c r="X268" s="118" t="n">
        <f aca="false">VLOOKUP($A268,Table,MATCH(X$4,Curves,0))</f>
        <v>2</v>
      </c>
      <c r="Y268" s="123" t="n">
        <f aca="false">1/(1+CHOOSE(F$3,(X269+($K$3/10000))/2,(X268+($K$3/10000))/2))^(2*W268/365.25)</f>
        <v>22.3023508941352</v>
      </c>
      <c r="Z268" s="67" t="n">
        <f aca="false">IF(AND(mthbeg&lt;=A268,mthend&gt;=A268),1,0)</f>
        <v>0</v>
      </c>
      <c r="AA268" s="67" t="n">
        <f aca="false">U268*Z268</f>
        <v>0</v>
      </c>
      <c r="AC268" s="110" t="n">
        <f aca="false">F268*(H268-I268)</f>
        <v>0</v>
      </c>
      <c r="AD268" s="49"/>
      <c r="AE268" s="124"/>
    </row>
    <row r="269" customFormat="false" ht="12" hidden="false" customHeight="true" outlineLevel="0" collapsed="false">
      <c r="A269" s="115" t="n">
        <f aca="false">EDATE(A268,1)</f>
        <v>45139</v>
      </c>
      <c r="B269" s="116" t="n">
        <f aca="false">'Inputs-Summary'!$B$7</f>
        <v>3017157.21662952</v>
      </c>
      <c r="C269" s="57"/>
      <c r="D269" s="117" t="n">
        <f aca="false">B269+C269</f>
        <v>3017157.21662952</v>
      </c>
      <c r="E269" s="106" t="n">
        <f aca="false">IF(Z269=0,0,IF(AND(Z269=1,$H$3=1),D269*U269,IF($H$3=2,D269,"N/A")))</f>
        <v>0</v>
      </c>
      <c r="F269" s="106" t="n">
        <f aca="false">E269*Y269</f>
        <v>0</v>
      </c>
      <c r="G269" s="118" t="n">
        <f aca="false">VLOOKUP($A269,Table,MATCH(G$4,Curves,0))</f>
        <v>3</v>
      </c>
      <c r="H269" s="119" t="n">
        <f aca="false">G269+$H$7</f>
        <v>3</v>
      </c>
      <c r="I269" s="118" t="n">
        <f aca="false">'Inputs-Summary'!$B$16</f>
        <v>1.85</v>
      </c>
      <c r="J269" s="118" t="n">
        <f aca="false">VLOOKUP($A269,Table,MATCH(J$4,Curves,0))</f>
        <v>5</v>
      </c>
      <c r="K269" s="119" t="n">
        <f aca="false">J269+$K$7</f>
        <v>5</v>
      </c>
      <c r="L269" s="120" t="n">
        <f aca="false">K269</f>
        <v>5</v>
      </c>
      <c r="M269" s="118" t="n">
        <f aca="false">VLOOKUP($A269,Table,MATCH(M$4,Curves,0))</f>
        <v>5</v>
      </c>
      <c r="N269" s="119" t="n">
        <f aca="false">M269+$N$7</f>
        <v>5</v>
      </c>
      <c r="O269" s="120" t="n">
        <f aca="false">N269</f>
        <v>5</v>
      </c>
      <c r="P269" s="109"/>
      <c r="Q269" s="120" t="n">
        <f aca="false">IF($F$3=1,M269+J269+G269,J269+G269)</f>
        <v>8</v>
      </c>
      <c r="R269" s="120" t="n">
        <f aca="false">IF($F$3=1,N269+K269+H269,K269+H269)</f>
        <v>8</v>
      </c>
      <c r="S269" s="120" t="n">
        <f aca="false">IF($F$3=1,O269+L269+I269,L269+I269)</f>
        <v>6.85</v>
      </c>
      <c r="T269" s="121"/>
      <c r="U269" s="67" t="n">
        <f aca="false">A270-A269</f>
        <v>31</v>
      </c>
      <c r="V269" s="122" t="n">
        <f aca="false">CHOOSE(F$3,A270+24,A269)</f>
        <v>45139</v>
      </c>
      <c r="W269" s="67" t="n">
        <f aca="false">V269-C$3</f>
        <v>-787</v>
      </c>
      <c r="X269" s="118" t="n">
        <f aca="false">VLOOKUP($A269,Table,MATCH(X$4,Curves,0))</f>
        <v>2</v>
      </c>
      <c r="Y269" s="123" t="n">
        <f aca="false">1/(1+CHOOSE(F$3,(X270+($K$3/10000))/2,(X269+($K$3/10000))/2))^(2*W269/365.25)</f>
        <v>19.8267614563231</v>
      </c>
      <c r="Z269" s="67" t="n">
        <f aca="false">IF(AND(mthbeg&lt;=A269,mthend&gt;=A269),1,0)</f>
        <v>0</v>
      </c>
      <c r="AA269" s="67" t="n">
        <f aca="false">U269*Z269</f>
        <v>0</v>
      </c>
      <c r="AC269" s="110" t="n">
        <f aca="false">F269*(H269-I269)</f>
        <v>0</v>
      </c>
      <c r="AD269" s="49"/>
      <c r="AE269" s="124"/>
    </row>
    <row r="270" customFormat="false" ht="12" hidden="false" customHeight="true" outlineLevel="0" collapsed="false">
      <c r="A270" s="115" t="n">
        <f aca="false">EDATE(A269,1)</f>
        <v>45170</v>
      </c>
      <c r="B270" s="116" t="n">
        <f aca="false">'Inputs-Summary'!$B$7</f>
        <v>3017157.21662952</v>
      </c>
      <c r="C270" s="57"/>
      <c r="D270" s="117" t="n">
        <f aca="false">B270+C270</f>
        <v>3017157.21662952</v>
      </c>
      <c r="E270" s="106" t="n">
        <f aca="false">IF(Z270=0,0,IF(AND(Z270=1,$H$3=1),D270*U270,IF($H$3=2,D270,"N/A")))</f>
        <v>0</v>
      </c>
      <c r="F270" s="106" t="n">
        <f aca="false">E270*Y270</f>
        <v>0</v>
      </c>
      <c r="G270" s="118" t="n">
        <f aca="false">VLOOKUP($A270,Table,MATCH(G$4,Curves,0))</f>
        <v>3</v>
      </c>
      <c r="H270" s="119" t="n">
        <f aca="false">G270+$H$7</f>
        <v>3</v>
      </c>
      <c r="I270" s="118" t="n">
        <f aca="false">'Inputs-Summary'!$B$16</f>
        <v>1.85</v>
      </c>
      <c r="J270" s="118" t="n">
        <f aca="false">VLOOKUP($A270,Table,MATCH(J$4,Curves,0))</f>
        <v>5</v>
      </c>
      <c r="K270" s="119" t="n">
        <f aca="false">J270+$K$7</f>
        <v>5</v>
      </c>
      <c r="L270" s="120" t="n">
        <f aca="false">K270</f>
        <v>5</v>
      </c>
      <c r="M270" s="118" t="n">
        <f aca="false">VLOOKUP($A270,Table,MATCH(M$4,Curves,0))</f>
        <v>5</v>
      </c>
      <c r="N270" s="119" t="n">
        <f aca="false">M270+$N$7</f>
        <v>5</v>
      </c>
      <c r="O270" s="120" t="n">
        <f aca="false">N270</f>
        <v>5</v>
      </c>
      <c r="P270" s="109"/>
      <c r="Q270" s="120" t="n">
        <f aca="false">IF($F$3=1,M270+J270+G270,J270+G270)</f>
        <v>8</v>
      </c>
      <c r="R270" s="120" t="n">
        <f aca="false">IF($F$3=1,N270+K270+H270,K270+H270)</f>
        <v>8</v>
      </c>
      <c r="S270" s="120" t="n">
        <f aca="false">IF($F$3=1,O270+L270+I270,L270+I270)</f>
        <v>6.85</v>
      </c>
      <c r="T270" s="121"/>
      <c r="U270" s="67" t="n">
        <f aca="false">A271-A270</f>
        <v>30</v>
      </c>
      <c r="V270" s="122" t="n">
        <f aca="false">CHOOSE(F$3,A271+24,A270)</f>
        <v>45170</v>
      </c>
      <c r="W270" s="67" t="n">
        <f aca="false">V270-C$3</f>
        <v>-756</v>
      </c>
      <c r="X270" s="118" t="n">
        <f aca="false">VLOOKUP($A270,Table,MATCH(X$4,Curves,0))</f>
        <v>2</v>
      </c>
      <c r="Y270" s="123" t="n">
        <f aca="false">1/(1+CHOOSE(F$3,(X271+($K$3/10000))/2,(X270+($K$3/10000))/2))^(2*W270/365.25)</f>
        <v>17.625965608375</v>
      </c>
      <c r="Z270" s="67" t="n">
        <f aca="false">IF(AND(mthbeg&lt;=A270,mthend&gt;=A270),1,0)</f>
        <v>0</v>
      </c>
      <c r="AA270" s="67" t="n">
        <f aca="false">U270*Z270</f>
        <v>0</v>
      </c>
      <c r="AC270" s="110" t="n">
        <f aca="false">F270*(H270-I270)</f>
        <v>0</v>
      </c>
      <c r="AD270" s="49"/>
      <c r="AE270" s="124"/>
    </row>
    <row r="271" customFormat="false" ht="12" hidden="false" customHeight="true" outlineLevel="0" collapsed="false">
      <c r="A271" s="115" t="n">
        <f aca="false">EDATE(A270,1)</f>
        <v>45200</v>
      </c>
      <c r="B271" s="116" t="n">
        <f aca="false">'Inputs-Summary'!$B$7</f>
        <v>3017157.21662952</v>
      </c>
      <c r="C271" s="57"/>
      <c r="D271" s="117" t="n">
        <f aca="false">B271+C271</f>
        <v>3017157.21662952</v>
      </c>
      <c r="E271" s="106" t="n">
        <f aca="false">IF(Z271=0,0,IF(AND(Z271=1,$H$3=1),D271*U271,IF($H$3=2,D271,"N/A")))</f>
        <v>0</v>
      </c>
      <c r="F271" s="106" t="n">
        <f aca="false">E271*Y271</f>
        <v>0</v>
      </c>
      <c r="G271" s="118" t="n">
        <f aca="false">VLOOKUP($A271,Table,MATCH(G$4,Curves,0))</f>
        <v>3</v>
      </c>
      <c r="H271" s="119" t="n">
        <f aca="false">G271+$H$7</f>
        <v>3</v>
      </c>
      <c r="I271" s="118" t="n">
        <f aca="false">'Inputs-Summary'!$B$16</f>
        <v>1.85</v>
      </c>
      <c r="J271" s="118" t="n">
        <f aca="false">VLOOKUP($A271,Table,MATCH(J$4,Curves,0))</f>
        <v>5</v>
      </c>
      <c r="K271" s="119" t="n">
        <f aca="false">J271+$K$7</f>
        <v>5</v>
      </c>
      <c r="L271" s="120" t="n">
        <f aca="false">K271</f>
        <v>5</v>
      </c>
      <c r="M271" s="118" t="n">
        <f aca="false">VLOOKUP($A271,Table,MATCH(M$4,Curves,0))</f>
        <v>5</v>
      </c>
      <c r="N271" s="119" t="n">
        <f aca="false">M271+$N$7</f>
        <v>5</v>
      </c>
      <c r="O271" s="120" t="n">
        <f aca="false">N271</f>
        <v>5</v>
      </c>
      <c r="P271" s="109"/>
      <c r="Q271" s="120" t="n">
        <f aca="false">IF($F$3=1,M271+J271+G271,J271+G271)</f>
        <v>8</v>
      </c>
      <c r="R271" s="120" t="n">
        <f aca="false">IF($F$3=1,N271+K271+H271,K271+H271)</f>
        <v>8</v>
      </c>
      <c r="S271" s="120" t="n">
        <f aca="false">IF($F$3=1,O271+L271+I271,L271+I271)</f>
        <v>6.85</v>
      </c>
      <c r="T271" s="121"/>
      <c r="U271" s="67" t="n">
        <f aca="false">A272-A271</f>
        <v>31</v>
      </c>
      <c r="V271" s="122" t="n">
        <f aca="false">CHOOSE(F$3,A272+24,A271)</f>
        <v>45200</v>
      </c>
      <c r="W271" s="67" t="n">
        <f aca="false">V271-C$3</f>
        <v>-726</v>
      </c>
      <c r="X271" s="118" t="n">
        <f aca="false">VLOOKUP($A271,Table,MATCH(X$4,Curves,0))</f>
        <v>2</v>
      </c>
      <c r="Y271" s="123" t="n">
        <f aca="false">1/(1+CHOOSE(F$3,(X272+($K$3/10000))/2,(X271+($K$3/10000))/2))^(2*W271/365.25)</f>
        <v>15.7290468409724</v>
      </c>
      <c r="Z271" s="67" t="n">
        <f aca="false">IF(AND(mthbeg&lt;=A271,mthend&gt;=A271),1,0)</f>
        <v>0</v>
      </c>
      <c r="AA271" s="67" t="n">
        <f aca="false">U271*Z271</f>
        <v>0</v>
      </c>
      <c r="AC271" s="110" t="n">
        <f aca="false">F271*(H271-I271)</f>
        <v>0</v>
      </c>
      <c r="AD271" s="49"/>
      <c r="AE271" s="124"/>
    </row>
    <row r="272" customFormat="false" ht="12" hidden="false" customHeight="true" outlineLevel="0" collapsed="false">
      <c r="A272" s="115" t="n">
        <f aca="false">EDATE(A271,1)</f>
        <v>45231</v>
      </c>
      <c r="B272" s="116" t="n">
        <f aca="false">'Inputs-Summary'!$B$7</f>
        <v>3017157.21662952</v>
      </c>
      <c r="C272" s="57"/>
      <c r="D272" s="117" t="n">
        <f aca="false">B272+C272</f>
        <v>3017157.21662952</v>
      </c>
      <c r="E272" s="106" t="n">
        <f aca="false">IF(Z272=0,0,IF(AND(Z272=1,$H$3=1),D272*U272,IF($H$3=2,D272,"N/A")))</f>
        <v>0</v>
      </c>
      <c r="F272" s="106" t="n">
        <f aca="false">E272*Y272</f>
        <v>0</v>
      </c>
      <c r="G272" s="118" t="n">
        <f aca="false">VLOOKUP($A272,Table,MATCH(G$4,Curves,0))</f>
        <v>3</v>
      </c>
      <c r="H272" s="119" t="n">
        <f aca="false">G272+$H$7</f>
        <v>3</v>
      </c>
      <c r="I272" s="118" t="n">
        <f aca="false">'Inputs-Summary'!$B$16</f>
        <v>1.85</v>
      </c>
      <c r="J272" s="118" t="n">
        <f aca="false">VLOOKUP($A272,Table,MATCH(J$4,Curves,0))</f>
        <v>5</v>
      </c>
      <c r="K272" s="119" t="n">
        <f aca="false">J272+$K$7</f>
        <v>5</v>
      </c>
      <c r="L272" s="120" t="n">
        <f aca="false">K272</f>
        <v>5</v>
      </c>
      <c r="M272" s="118" t="n">
        <f aca="false">VLOOKUP($A272,Table,MATCH(M$4,Curves,0))</f>
        <v>5</v>
      </c>
      <c r="N272" s="119" t="n">
        <f aca="false">M272+$N$7</f>
        <v>5</v>
      </c>
      <c r="O272" s="120" t="n">
        <f aca="false">N272</f>
        <v>5</v>
      </c>
      <c r="P272" s="109"/>
      <c r="Q272" s="120" t="n">
        <f aca="false">IF($F$3=1,M272+J272+G272,J272+G272)</f>
        <v>8</v>
      </c>
      <c r="R272" s="120" t="n">
        <f aca="false">IF($F$3=1,N272+K272+H272,K272+H272)</f>
        <v>8</v>
      </c>
      <c r="S272" s="120" t="n">
        <f aca="false">IF($F$3=1,O272+L272+I272,L272+I272)</f>
        <v>6.85</v>
      </c>
      <c r="T272" s="121"/>
      <c r="U272" s="67" t="n">
        <f aca="false">A273-A272</f>
        <v>30</v>
      </c>
      <c r="V272" s="122" t="n">
        <f aca="false">CHOOSE(F$3,A273+24,A272)</f>
        <v>45231</v>
      </c>
      <c r="W272" s="67" t="n">
        <f aca="false">V272-C$3</f>
        <v>-695</v>
      </c>
      <c r="X272" s="118" t="n">
        <f aca="false">VLOOKUP($A272,Table,MATCH(X$4,Curves,0))</f>
        <v>2</v>
      </c>
      <c r="Y272" s="123" t="n">
        <f aca="false">1/(1+CHOOSE(F$3,(X273+($K$3/10000))/2,(X272+($K$3/10000))/2))^(2*W272/365.25)</f>
        <v>13.9831025496644</v>
      </c>
      <c r="Z272" s="67" t="n">
        <f aca="false">IF(AND(mthbeg&lt;=A272,mthend&gt;=A272),1,0)</f>
        <v>0</v>
      </c>
      <c r="AA272" s="67" t="n">
        <f aca="false">U272*Z272</f>
        <v>0</v>
      </c>
      <c r="AC272" s="110" t="n">
        <f aca="false">F272*(H272-I272)</f>
        <v>0</v>
      </c>
      <c r="AD272" s="49"/>
      <c r="AE272" s="124"/>
    </row>
    <row r="273" customFormat="false" ht="12" hidden="false" customHeight="true" outlineLevel="0" collapsed="false">
      <c r="A273" s="115" t="n">
        <f aca="false">EDATE(A272,1)</f>
        <v>45261</v>
      </c>
      <c r="B273" s="116" t="n">
        <f aca="false">'Inputs-Summary'!$B$7</f>
        <v>3017157.21662952</v>
      </c>
      <c r="C273" s="57"/>
      <c r="D273" s="117" t="n">
        <f aca="false">B273+C273</f>
        <v>3017157.21662952</v>
      </c>
      <c r="E273" s="106" t="n">
        <f aca="false">IF(Z273=0,0,IF(AND(Z273=1,$H$3=1),D273*U273,IF($H$3=2,D273,"N/A")))</f>
        <v>0</v>
      </c>
      <c r="F273" s="106" t="n">
        <f aca="false">E273*Y273</f>
        <v>0</v>
      </c>
      <c r="G273" s="118" t="n">
        <f aca="false">VLOOKUP($A273,Table,MATCH(G$4,Curves,0))</f>
        <v>3</v>
      </c>
      <c r="H273" s="119" t="n">
        <f aca="false">G273+$H$7</f>
        <v>3</v>
      </c>
      <c r="I273" s="118" t="n">
        <f aca="false">'Inputs-Summary'!$B$16</f>
        <v>1.85</v>
      </c>
      <c r="J273" s="118" t="n">
        <f aca="false">VLOOKUP($A273,Table,MATCH(J$4,Curves,0))</f>
        <v>5</v>
      </c>
      <c r="K273" s="119" t="n">
        <f aca="false">J273+$K$7</f>
        <v>5</v>
      </c>
      <c r="L273" s="120" t="n">
        <f aca="false">K273</f>
        <v>5</v>
      </c>
      <c r="M273" s="118" t="n">
        <f aca="false">VLOOKUP($A273,Table,MATCH(M$4,Curves,0))</f>
        <v>5</v>
      </c>
      <c r="N273" s="119" t="n">
        <f aca="false">M273+$N$7</f>
        <v>5</v>
      </c>
      <c r="O273" s="120" t="n">
        <f aca="false">N273</f>
        <v>5</v>
      </c>
      <c r="P273" s="109"/>
      <c r="Q273" s="120" t="n">
        <f aca="false">IF($F$3=1,M273+J273+G273,J273+G273)</f>
        <v>8</v>
      </c>
      <c r="R273" s="120" t="n">
        <f aca="false">IF($F$3=1,N273+K273+H273,K273+H273)</f>
        <v>8</v>
      </c>
      <c r="S273" s="120" t="n">
        <f aca="false">IF($F$3=1,O273+L273+I273,L273+I273)</f>
        <v>6.85</v>
      </c>
      <c r="T273" s="121"/>
      <c r="U273" s="67" t="n">
        <f aca="false">A274-A273</f>
        <v>31</v>
      </c>
      <c r="V273" s="122" t="n">
        <f aca="false">CHOOSE(F$3,A274+24,A273)</f>
        <v>45261</v>
      </c>
      <c r="W273" s="67" t="n">
        <f aca="false">V273-C$3</f>
        <v>-665</v>
      </c>
      <c r="X273" s="118" t="n">
        <f aca="false">VLOOKUP($A273,Table,MATCH(X$4,Curves,0))</f>
        <v>2</v>
      </c>
      <c r="Y273" s="123" t="n">
        <f aca="false">1/(1+CHOOSE(F$3,(X274+($K$3/10000))/2,(X273+($K$3/10000))/2))^(2*W273/365.25)</f>
        <v>12.4782312568048</v>
      </c>
      <c r="Z273" s="67" t="n">
        <f aca="false">IF(AND(mthbeg&lt;=A273,mthend&gt;=A273),1,0)</f>
        <v>0</v>
      </c>
      <c r="AA273" s="67" t="n">
        <f aca="false">U273*Z273</f>
        <v>0</v>
      </c>
      <c r="AC273" s="110" t="n">
        <f aca="false">F273*(H273-I273)</f>
        <v>0</v>
      </c>
      <c r="AD273" s="49"/>
      <c r="AE273" s="124"/>
    </row>
    <row r="274" customFormat="false" ht="12" hidden="false" customHeight="true" outlineLevel="0" collapsed="false">
      <c r="A274" s="115" t="n">
        <f aca="false">EDATE(A273,1)</f>
        <v>45292</v>
      </c>
      <c r="B274" s="116" t="n">
        <f aca="false">'Inputs-Summary'!$B$7</f>
        <v>3017157.21662952</v>
      </c>
      <c r="C274" s="57"/>
      <c r="D274" s="117" t="n">
        <f aca="false">B274+C274</f>
        <v>3017157.21662952</v>
      </c>
      <c r="E274" s="106" t="n">
        <f aca="false">IF(Z274=0,0,IF(AND(Z274=1,$H$3=1),D274*U274,IF($H$3=2,D274,"N/A")))</f>
        <v>0</v>
      </c>
      <c r="F274" s="106" t="n">
        <f aca="false">E274*Y274</f>
        <v>0</v>
      </c>
      <c r="G274" s="118" t="n">
        <f aca="false">VLOOKUP($A274,Table,MATCH(G$4,Curves,0))</f>
        <v>3</v>
      </c>
      <c r="H274" s="119" t="n">
        <f aca="false">G274+$H$7</f>
        <v>3</v>
      </c>
      <c r="I274" s="118" t="n">
        <f aca="false">'Inputs-Summary'!$B$16</f>
        <v>1.85</v>
      </c>
      <c r="J274" s="118" t="n">
        <f aca="false">VLOOKUP($A274,Table,MATCH(J$4,Curves,0))</f>
        <v>5</v>
      </c>
      <c r="K274" s="119" t="n">
        <f aca="false">J274+$K$7</f>
        <v>5</v>
      </c>
      <c r="L274" s="120" t="n">
        <f aca="false">K274</f>
        <v>5</v>
      </c>
      <c r="M274" s="118" t="n">
        <f aca="false">VLOOKUP($A274,Table,MATCH(M$4,Curves,0))</f>
        <v>5</v>
      </c>
      <c r="N274" s="119" t="n">
        <f aca="false">M274+$N$7</f>
        <v>5</v>
      </c>
      <c r="O274" s="120" t="n">
        <f aca="false">N274</f>
        <v>5</v>
      </c>
      <c r="P274" s="109"/>
      <c r="Q274" s="120" t="n">
        <f aca="false">IF($F$3=1,M274+J274+G274,J274+G274)</f>
        <v>8</v>
      </c>
      <c r="R274" s="120" t="n">
        <f aca="false">IF($F$3=1,N274+K274+H274,K274+H274)</f>
        <v>8</v>
      </c>
      <c r="S274" s="120" t="n">
        <f aca="false">IF($F$3=1,O274+L274+I274,L274+I274)</f>
        <v>6.85</v>
      </c>
      <c r="T274" s="121"/>
      <c r="U274" s="67" t="n">
        <f aca="false">A275-A274</f>
        <v>31</v>
      </c>
      <c r="V274" s="122" t="n">
        <f aca="false">CHOOSE(F$3,A275+24,A274)</f>
        <v>45292</v>
      </c>
      <c r="W274" s="67" t="n">
        <f aca="false">V274-C$3</f>
        <v>-634</v>
      </c>
      <c r="X274" s="118" t="n">
        <f aca="false">VLOOKUP($A274,Table,MATCH(X$4,Curves,0))</f>
        <v>2</v>
      </c>
      <c r="Y274" s="123" t="n">
        <f aca="false">1/(1+CHOOSE(F$3,(X275+($K$3/10000))/2,(X274+($K$3/10000))/2))^(2*W274/365.25)</f>
        <v>11.0931316478642</v>
      </c>
      <c r="Z274" s="67" t="n">
        <f aca="false">IF(AND(mthbeg&lt;=A274,mthend&gt;=A274),1,0)</f>
        <v>0</v>
      </c>
      <c r="AA274" s="67" t="n">
        <f aca="false">U274*Z274</f>
        <v>0</v>
      </c>
      <c r="AC274" s="110" t="n">
        <f aca="false">F274*(H274-I274)</f>
        <v>0</v>
      </c>
      <c r="AD274" s="49"/>
      <c r="AE274" s="124"/>
    </row>
    <row r="275" customFormat="false" ht="12" hidden="false" customHeight="true" outlineLevel="0" collapsed="false">
      <c r="A275" s="115" t="n">
        <f aca="false">EDATE(A274,1)</f>
        <v>45323</v>
      </c>
      <c r="B275" s="116" t="n">
        <f aca="false">'Inputs-Summary'!$B$7</f>
        <v>3017157.21662952</v>
      </c>
      <c r="C275" s="57"/>
      <c r="D275" s="117" t="n">
        <f aca="false">B275+C275</f>
        <v>3017157.21662952</v>
      </c>
      <c r="E275" s="106" t="n">
        <f aca="false">IF(Z275=0,0,IF(AND(Z275=1,$H$3=1),D275*U275,IF($H$3=2,D275,"N/A")))</f>
        <v>0</v>
      </c>
      <c r="F275" s="106" t="n">
        <f aca="false">E275*Y275</f>
        <v>0</v>
      </c>
      <c r="G275" s="118" t="n">
        <f aca="false">VLOOKUP($A275,Table,MATCH(G$4,Curves,0))</f>
        <v>3</v>
      </c>
      <c r="H275" s="119" t="n">
        <f aca="false">G275+$H$7</f>
        <v>3</v>
      </c>
      <c r="I275" s="118" t="n">
        <f aca="false">'Inputs-Summary'!$B$16</f>
        <v>1.85</v>
      </c>
      <c r="J275" s="118" t="n">
        <f aca="false">VLOOKUP($A275,Table,MATCH(J$4,Curves,0))</f>
        <v>5</v>
      </c>
      <c r="K275" s="119" t="n">
        <f aca="false">J275+$K$7</f>
        <v>5</v>
      </c>
      <c r="L275" s="120" t="n">
        <f aca="false">K275</f>
        <v>5</v>
      </c>
      <c r="M275" s="118" t="n">
        <f aca="false">VLOOKUP($A275,Table,MATCH(M$4,Curves,0))</f>
        <v>5</v>
      </c>
      <c r="N275" s="119" t="n">
        <f aca="false">M275+$N$7</f>
        <v>5</v>
      </c>
      <c r="O275" s="120" t="n">
        <f aca="false">N275</f>
        <v>5</v>
      </c>
      <c r="P275" s="109"/>
      <c r="Q275" s="120" t="n">
        <f aca="false">IF($F$3=1,M275+J275+G275,J275+G275)</f>
        <v>8</v>
      </c>
      <c r="R275" s="120" t="n">
        <f aca="false">IF($F$3=1,N275+K275+H275,K275+H275)</f>
        <v>8</v>
      </c>
      <c r="S275" s="120" t="n">
        <f aca="false">IF($F$3=1,O275+L275+I275,L275+I275)</f>
        <v>6.85</v>
      </c>
      <c r="T275" s="121"/>
      <c r="U275" s="67" t="n">
        <f aca="false">A276-A275</f>
        <v>29</v>
      </c>
      <c r="V275" s="122" t="n">
        <f aca="false">CHOOSE(F$3,A276+24,A275)</f>
        <v>45323</v>
      </c>
      <c r="W275" s="67" t="n">
        <f aca="false">V275-C$3</f>
        <v>-603</v>
      </c>
      <c r="X275" s="118" t="n">
        <f aca="false">VLOOKUP($A275,Table,MATCH(X$4,Curves,0))</f>
        <v>2</v>
      </c>
      <c r="Y275" s="123" t="n">
        <f aca="false">1/(1+CHOOSE(F$3,(X276+($K$3/10000))/2,(X275+($K$3/10000))/2))^(2*W275/365.25)</f>
        <v>9.86177986481368</v>
      </c>
      <c r="Z275" s="67" t="n">
        <f aca="false">IF(AND(mthbeg&lt;=A275,mthend&gt;=A275),1,0)</f>
        <v>0</v>
      </c>
      <c r="AA275" s="67" t="n">
        <f aca="false">U275*Z275</f>
        <v>0</v>
      </c>
      <c r="AC275" s="110" t="n">
        <f aca="false">F275*(H275-I275)</f>
        <v>0</v>
      </c>
      <c r="AD275" s="49"/>
      <c r="AE275" s="124"/>
    </row>
    <row r="276" customFormat="false" ht="12" hidden="false" customHeight="true" outlineLevel="0" collapsed="false">
      <c r="A276" s="115" t="n">
        <f aca="false">EDATE(A275,1)</f>
        <v>45352</v>
      </c>
      <c r="B276" s="116" t="n">
        <f aca="false">'Inputs-Summary'!$B$7</f>
        <v>3017157.21662952</v>
      </c>
      <c r="C276" s="57"/>
      <c r="D276" s="117" t="n">
        <f aca="false">B276+C276</f>
        <v>3017157.21662952</v>
      </c>
      <c r="E276" s="106" t="n">
        <f aca="false">IF(Z276=0,0,IF(AND(Z276=1,$H$3=1),D276*U276,IF($H$3=2,D276,"N/A")))</f>
        <v>0</v>
      </c>
      <c r="F276" s="106" t="n">
        <f aca="false">E276*Y276</f>
        <v>0</v>
      </c>
      <c r="G276" s="118" t="n">
        <f aca="false">VLOOKUP($A276,Table,MATCH(G$4,Curves,0))</f>
        <v>3</v>
      </c>
      <c r="H276" s="119" t="n">
        <f aca="false">G276+$H$7</f>
        <v>3</v>
      </c>
      <c r="I276" s="118" t="n">
        <f aca="false">'Inputs-Summary'!$B$16</f>
        <v>1.85</v>
      </c>
      <c r="J276" s="118" t="n">
        <f aca="false">VLOOKUP($A276,Table,MATCH(J$4,Curves,0))</f>
        <v>5</v>
      </c>
      <c r="K276" s="119" t="n">
        <f aca="false">J276+$K$7</f>
        <v>5</v>
      </c>
      <c r="L276" s="120" t="n">
        <f aca="false">K276</f>
        <v>5</v>
      </c>
      <c r="M276" s="118" t="n">
        <f aca="false">VLOOKUP($A276,Table,MATCH(M$4,Curves,0))</f>
        <v>5</v>
      </c>
      <c r="N276" s="119" t="n">
        <f aca="false">M276+$N$7</f>
        <v>5</v>
      </c>
      <c r="O276" s="120" t="n">
        <f aca="false">N276</f>
        <v>5</v>
      </c>
      <c r="P276" s="109"/>
      <c r="Q276" s="120" t="n">
        <f aca="false">IF($F$3=1,M276+J276+G276,J276+G276)</f>
        <v>8</v>
      </c>
      <c r="R276" s="120" t="n">
        <f aca="false">IF($F$3=1,N276+K276+H276,K276+H276)</f>
        <v>8</v>
      </c>
      <c r="S276" s="120" t="n">
        <f aca="false">IF($F$3=1,O276+L276+I276,L276+I276)</f>
        <v>6.85</v>
      </c>
      <c r="T276" s="121"/>
      <c r="U276" s="67" t="n">
        <f aca="false">A277-A276</f>
        <v>31</v>
      </c>
      <c r="V276" s="122" t="n">
        <f aca="false">CHOOSE(F$3,A277+24,A276)</f>
        <v>45352</v>
      </c>
      <c r="W276" s="67" t="n">
        <f aca="false">V276-C$3</f>
        <v>-574</v>
      </c>
      <c r="X276" s="118" t="n">
        <f aca="false">VLOOKUP($A276,Table,MATCH(X$4,Curves,0))</f>
        <v>2</v>
      </c>
      <c r="Y276" s="123" t="n">
        <f aca="false">1/(1+CHOOSE(F$3,(X277+($K$3/10000))/2,(X276+($K$3/10000))/2))^(2*W276/365.25)</f>
        <v>8.83391348638038</v>
      </c>
      <c r="Z276" s="67" t="n">
        <f aca="false">IF(AND(mthbeg&lt;=A276,mthend&gt;=A276),1,0)</f>
        <v>0</v>
      </c>
      <c r="AA276" s="67" t="n">
        <f aca="false">U276*Z276</f>
        <v>0</v>
      </c>
      <c r="AC276" s="110" t="n">
        <f aca="false">F276*(H276-I276)</f>
        <v>0</v>
      </c>
      <c r="AD276" s="49"/>
      <c r="AE276" s="124"/>
    </row>
    <row r="277" customFormat="false" ht="12" hidden="false" customHeight="true" outlineLevel="0" collapsed="false">
      <c r="A277" s="115" t="n">
        <f aca="false">EDATE(A276,1)</f>
        <v>45383</v>
      </c>
      <c r="B277" s="116" t="n">
        <f aca="false">'Inputs-Summary'!$B$7</f>
        <v>3017157.21662952</v>
      </c>
      <c r="C277" s="57"/>
      <c r="D277" s="117" t="n">
        <f aca="false">B277+C277</f>
        <v>3017157.21662952</v>
      </c>
      <c r="E277" s="106" t="n">
        <f aca="false">IF(Z277=0,0,IF(AND(Z277=1,$H$3=1),D277*U277,IF($H$3=2,D277,"N/A")))</f>
        <v>0</v>
      </c>
      <c r="F277" s="106" t="n">
        <f aca="false">E277*Y277</f>
        <v>0</v>
      </c>
      <c r="G277" s="118" t="n">
        <f aca="false">VLOOKUP($A277,Table,MATCH(G$4,Curves,0))</f>
        <v>3</v>
      </c>
      <c r="H277" s="119" t="n">
        <f aca="false">G277+$H$7</f>
        <v>3</v>
      </c>
      <c r="I277" s="118" t="n">
        <f aca="false">'Inputs-Summary'!$B$16</f>
        <v>1.85</v>
      </c>
      <c r="J277" s="118" t="n">
        <f aca="false">VLOOKUP($A277,Table,MATCH(J$4,Curves,0))</f>
        <v>5</v>
      </c>
      <c r="K277" s="119" t="n">
        <f aca="false">J277+$K$7</f>
        <v>5</v>
      </c>
      <c r="L277" s="120" t="n">
        <f aca="false">K277</f>
        <v>5</v>
      </c>
      <c r="M277" s="118" t="n">
        <f aca="false">VLOOKUP($A277,Table,MATCH(M$4,Curves,0))</f>
        <v>5</v>
      </c>
      <c r="N277" s="119" t="n">
        <f aca="false">M277+$N$7</f>
        <v>5</v>
      </c>
      <c r="O277" s="120" t="n">
        <f aca="false">N277</f>
        <v>5</v>
      </c>
      <c r="P277" s="109"/>
      <c r="Q277" s="120" t="n">
        <f aca="false">IF($F$3=1,M277+J277+G277,J277+G277)</f>
        <v>8</v>
      </c>
      <c r="R277" s="120" t="n">
        <f aca="false">IF($F$3=1,N277+K277+H277,K277+H277)</f>
        <v>8</v>
      </c>
      <c r="S277" s="120" t="n">
        <f aca="false">IF($F$3=1,O277+L277+I277,L277+I277)</f>
        <v>6.85</v>
      </c>
      <c r="T277" s="121"/>
      <c r="U277" s="67" t="n">
        <f aca="false">A278-A277</f>
        <v>30</v>
      </c>
      <c r="V277" s="122" t="n">
        <f aca="false">CHOOSE(F$3,A278+24,A277)</f>
        <v>45383</v>
      </c>
      <c r="W277" s="67" t="n">
        <f aca="false">V277-C$3</f>
        <v>-543</v>
      </c>
      <c r="X277" s="118" t="n">
        <f aca="false">VLOOKUP($A277,Table,MATCH(X$4,Curves,0))</f>
        <v>2</v>
      </c>
      <c r="Y277" s="123" t="n">
        <f aca="false">1/(1+CHOOSE(F$3,(X278+($K$3/10000))/2,(X277+($K$3/10000))/2))^(2*W277/365.25)</f>
        <v>7.85333780513325</v>
      </c>
      <c r="Z277" s="67" t="n">
        <f aca="false">IF(AND(mthbeg&lt;=A277,mthend&gt;=A277),1,0)</f>
        <v>0</v>
      </c>
      <c r="AA277" s="67" t="n">
        <f aca="false">U277*Z277</f>
        <v>0</v>
      </c>
      <c r="AC277" s="110" t="n">
        <f aca="false">F277*(H277-I277)</f>
        <v>0</v>
      </c>
      <c r="AD277" s="49"/>
      <c r="AE277" s="124"/>
    </row>
    <row r="278" customFormat="false" ht="12" hidden="false" customHeight="true" outlineLevel="0" collapsed="false">
      <c r="A278" s="115" t="n">
        <f aca="false">EDATE(A277,1)</f>
        <v>45413</v>
      </c>
      <c r="B278" s="116" t="n">
        <f aca="false">'Inputs-Summary'!$B$7</f>
        <v>3017157.21662952</v>
      </c>
      <c r="C278" s="57"/>
      <c r="D278" s="117" t="n">
        <f aca="false">B278+C278</f>
        <v>3017157.21662952</v>
      </c>
      <c r="E278" s="106" t="n">
        <f aca="false">IF(Z278=0,0,IF(AND(Z278=1,$H$3=1),D278*U278,IF($H$3=2,D278,"N/A")))</f>
        <v>0</v>
      </c>
      <c r="F278" s="106" t="n">
        <f aca="false">E278*Y278</f>
        <v>0</v>
      </c>
      <c r="G278" s="118" t="n">
        <f aca="false">VLOOKUP($A278,Table,MATCH(G$4,Curves,0))</f>
        <v>3</v>
      </c>
      <c r="H278" s="119" t="n">
        <f aca="false">G278+$H$7</f>
        <v>3</v>
      </c>
      <c r="I278" s="118" t="n">
        <f aca="false">'Inputs-Summary'!$B$16</f>
        <v>1.85</v>
      </c>
      <c r="J278" s="118" t="n">
        <f aca="false">VLOOKUP($A278,Table,MATCH(J$4,Curves,0))</f>
        <v>5</v>
      </c>
      <c r="K278" s="119" t="n">
        <f aca="false">J278+$K$7</f>
        <v>5</v>
      </c>
      <c r="L278" s="120" t="n">
        <f aca="false">K278</f>
        <v>5</v>
      </c>
      <c r="M278" s="118" t="n">
        <f aca="false">VLOOKUP($A278,Table,MATCH(M$4,Curves,0))</f>
        <v>5</v>
      </c>
      <c r="N278" s="119" t="n">
        <f aca="false">M278+$N$7</f>
        <v>5</v>
      </c>
      <c r="O278" s="120" t="n">
        <f aca="false">N278</f>
        <v>5</v>
      </c>
      <c r="P278" s="109"/>
      <c r="Q278" s="120" t="n">
        <f aca="false">IF($F$3=1,M278+J278+G278,J278+G278)</f>
        <v>8</v>
      </c>
      <c r="R278" s="120" t="n">
        <f aca="false">IF($F$3=1,N278+K278+H278,K278+H278)</f>
        <v>8</v>
      </c>
      <c r="S278" s="120" t="n">
        <f aca="false">IF($F$3=1,O278+L278+I278,L278+I278)</f>
        <v>6.85</v>
      </c>
      <c r="T278" s="121"/>
      <c r="U278" s="67" t="n">
        <f aca="false">A279-A278</f>
        <v>31</v>
      </c>
      <c r="V278" s="122" t="n">
        <f aca="false">CHOOSE(F$3,A279+24,A278)</f>
        <v>45413</v>
      </c>
      <c r="W278" s="67" t="n">
        <f aca="false">V278-C$3</f>
        <v>-513</v>
      </c>
      <c r="X278" s="118" t="n">
        <f aca="false">VLOOKUP($A278,Table,MATCH(X$4,Curves,0))</f>
        <v>2</v>
      </c>
      <c r="Y278" s="123" t="n">
        <f aca="false">1/(1+CHOOSE(F$3,(X279+($K$3/10000))/2,(X278+($K$3/10000))/2))^(2*W278/365.25)</f>
        <v>7.0081560885508</v>
      </c>
      <c r="Z278" s="67" t="n">
        <f aca="false">IF(AND(mthbeg&lt;=A278,mthend&gt;=A278),1,0)</f>
        <v>0</v>
      </c>
      <c r="AA278" s="67" t="n">
        <f aca="false">U278*Z278</f>
        <v>0</v>
      </c>
      <c r="AC278" s="110" t="n">
        <f aca="false">F278*(H278-I278)</f>
        <v>0</v>
      </c>
      <c r="AD278" s="49"/>
      <c r="AE278" s="124"/>
    </row>
    <row r="279" customFormat="false" ht="12" hidden="false" customHeight="true" outlineLevel="0" collapsed="false">
      <c r="A279" s="115" t="n">
        <f aca="false">EDATE(A278,1)</f>
        <v>45444</v>
      </c>
      <c r="B279" s="116" t="n">
        <f aca="false">'Inputs-Summary'!$B$7</f>
        <v>3017157.21662952</v>
      </c>
      <c r="C279" s="57"/>
      <c r="D279" s="117" t="n">
        <f aca="false">B279+C279</f>
        <v>3017157.21662952</v>
      </c>
      <c r="E279" s="106" t="n">
        <f aca="false">IF(Z279=0,0,IF(AND(Z279=1,$H$3=1),D279*U279,IF($H$3=2,D279,"N/A")))</f>
        <v>0</v>
      </c>
      <c r="F279" s="106" t="n">
        <f aca="false">E279*Y279</f>
        <v>0</v>
      </c>
      <c r="G279" s="118" t="n">
        <f aca="false">VLOOKUP($A279,Table,MATCH(G$4,Curves,0))</f>
        <v>3</v>
      </c>
      <c r="H279" s="119" t="n">
        <f aca="false">G279+$H$7</f>
        <v>3</v>
      </c>
      <c r="I279" s="118" t="n">
        <f aca="false">'Inputs-Summary'!$B$16</f>
        <v>1.85</v>
      </c>
      <c r="J279" s="118" t="n">
        <f aca="false">VLOOKUP($A279,Table,MATCH(J$4,Curves,0))</f>
        <v>5</v>
      </c>
      <c r="K279" s="119" t="n">
        <f aca="false">J279+$K$7</f>
        <v>5</v>
      </c>
      <c r="L279" s="120" t="n">
        <f aca="false">K279</f>
        <v>5</v>
      </c>
      <c r="M279" s="118" t="n">
        <f aca="false">VLOOKUP($A279,Table,MATCH(M$4,Curves,0))</f>
        <v>5</v>
      </c>
      <c r="N279" s="119" t="n">
        <f aca="false">M279+$N$7</f>
        <v>5</v>
      </c>
      <c r="O279" s="120" t="n">
        <f aca="false">N279</f>
        <v>5</v>
      </c>
      <c r="P279" s="109"/>
      <c r="Q279" s="120" t="n">
        <f aca="false">IF($F$3=1,M279+J279+G279,J279+G279)</f>
        <v>8</v>
      </c>
      <c r="R279" s="120" t="n">
        <f aca="false">IF($F$3=1,N279+K279+H279,K279+H279)</f>
        <v>8</v>
      </c>
      <c r="S279" s="120" t="n">
        <f aca="false">IF($F$3=1,O279+L279+I279,L279+I279)</f>
        <v>6.85</v>
      </c>
      <c r="T279" s="121"/>
      <c r="U279" s="67" t="n">
        <f aca="false">A280-A279</f>
        <v>30</v>
      </c>
      <c r="V279" s="122" t="n">
        <f aca="false">CHOOSE(F$3,A280+24,A279)</f>
        <v>45444</v>
      </c>
      <c r="W279" s="67" t="n">
        <f aca="false">V279-C$3</f>
        <v>-482</v>
      </c>
      <c r="X279" s="118" t="n">
        <f aca="false">VLOOKUP($A279,Table,MATCH(X$4,Curves,0))</f>
        <v>2</v>
      </c>
      <c r="Y279" s="123" t="n">
        <f aca="false">1/(1+CHOOSE(F$3,(X280+($K$3/10000))/2,(X279+($K$3/10000))/2))^(2*W279/365.25)</f>
        <v>6.2302418106476</v>
      </c>
      <c r="Z279" s="67" t="n">
        <f aca="false">IF(AND(mthbeg&lt;=A279,mthend&gt;=A279),1,0)</f>
        <v>0</v>
      </c>
      <c r="AA279" s="67" t="n">
        <f aca="false">U279*Z279</f>
        <v>0</v>
      </c>
      <c r="AC279" s="110" t="n">
        <f aca="false">F279*(H279-I279)</f>
        <v>0</v>
      </c>
      <c r="AD279" s="49"/>
      <c r="AE279" s="124"/>
    </row>
    <row r="280" customFormat="false" ht="12" hidden="false" customHeight="true" outlineLevel="0" collapsed="false">
      <c r="A280" s="115" t="n">
        <f aca="false">EDATE(A279,1)</f>
        <v>45474</v>
      </c>
      <c r="B280" s="116" t="n">
        <f aca="false">'Inputs-Summary'!$B$7</f>
        <v>3017157.21662952</v>
      </c>
      <c r="C280" s="57"/>
      <c r="D280" s="117" t="n">
        <f aca="false">B280+C280</f>
        <v>3017157.21662952</v>
      </c>
      <c r="E280" s="106" t="n">
        <f aca="false">IF(Z280=0,0,IF(AND(Z280=1,$H$3=1),D280*U280,IF($H$3=2,D280,"N/A")))</f>
        <v>0</v>
      </c>
      <c r="F280" s="106" t="n">
        <f aca="false">E280*Y280</f>
        <v>0</v>
      </c>
      <c r="G280" s="118" t="n">
        <f aca="false">VLOOKUP($A280,Table,MATCH(G$4,Curves,0))</f>
        <v>3</v>
      </c>
      <c r="H280" s="119" t="n">
        <f aca="false">G280+$H$7</f>
        <v>3</v>
      </c>
      <c r="I280" s="118" t="n">
        <f aca="false">'Inputs-Summary'!$B$16</f>
        <v>1.85</v>
      </c>
      <c r="J280" s="118" t="n">
        <f aca="false">VLOOKUP($A280,Table,MATCH(J$4,Curves,0))</f>
        <v>5</v>
      </c>
      <c r="K280" s="119" t="n">
        <f aca="false">J280+$K$7</f>
        <v>5</v>
      </c>
      <c r="L280" s="120" t="n">
        <f aca="false">K280</f>
        <v>5</v>
      </c>
      <c r="M280" s="118" t="n">
        <f aca="false">VLOOKUP($A280,Table,MATCH(M$4,Curves,0))</f>
        <v>5</v>
      </c>
      <c r="N280" s="119" t="n">
        <f aca="false">M280+$N$7</f>
        <v>5</v>
      </c>
      <c r="O280" s="120" t="n">
        <f aca="false">N280</f>
        <v>5</v>
      </c>
      <c r="P280" s="109"/>
      <c r="Q280" s="120" t="n">
        <f aca="false">IF($F$3=1,M280+J280+G280,J280+G280)</f>
        <v>8</v>
      </c>
      <c r="R280" s="120" t="n">
        <f aca="false">IF($F$3=1,N280+K280+H280,K280+H280)</f>
        <v>8</v>
      </c>
      <c r="S280" s="120" t="n">
        <f aca="false">IF($F$3=1,O280+L280+I280,L280+I280)</f>
        <v>6.85</v>
      </c>
      <c r="T280" s="121"/>
      <c r="U280" s="67" t="n">
        <f aca="false">A281-A280</f>
        <v>31</v>
      </c>
      <c r="V280" s="122" t="n">
        <f aca="false">CHOOSE(F$3,A281+24,A280)</f>
        <v>45474</v>
      </c>
      <c r="W280" s="67" t="n">
        <f aca="false">V280-C$3</f>
        <v>-452</v>
      </c>
      <c r="X280" s="118" t="n">
        <f aca="false">VLOOKUP($A280,Table,MATCH(X$4,Curves,0))</f>
        <v>2</v>
      </c>
      <c r="Y280" s="123" t="n">
        <f aca="false">1/(1+CHOOSE(F$3,(X281+($K$3/10000))/2,(X280+($K$3/10000))/2))^(2*W280/365.25)</f>
        <v>5.55973882212149</v>
      </c>
      <c r="Z280" s="67" t="n">
        <f aca="false">IF(AND(mthbeg&lt;=A280,mthend&gt;=A280),1,0)</f>
        <v>0</v>
      </c>
      <c r="AA280" s="67" t="n">
        <f aca="false">U280*Z280</f>
        <v>0</v>
      </c>
      <c r="AC280" s="110" t="n">
        <f aca="false">F280*(H280-I280)</f>
        <v>0</v>
      </c>
      <c r="AD280" s="49"/>
      <c r="AE280" s="124"/>
    </row>
    <row r="281" customFormat="false" ht="12" hidden="false" customHeight="true" outlineLevel="0" collapsed="false">
      <c r="A281" s="115" t="n">
        <f aca="false">EDATE(A280,1)</f>
        <v>45505</v>
      </c>
      <c r="B281" s="116" t="n">
        <f aca="false">'Inputs-Summary'!$B$7</f>
        <v>3017157.21662952</v>
      </c>
      <c r="C281" s="57"/>
      <c r="D281" s="117" t="n">
        <f aca="false">B281+C281</f>
        <v>3017157.21662952</v>
      </c>
      <c r="E281" s="106" t="n">
        <f aca="false">IF(Z281=0,0,IF(AND(Z281=1,$H$3=1),D281*U281,IF($H$3=2,D281,"N/A")))</f>
        <v>0</v>
      </c>
      <c r="F281" s="106" t="n">
        <f aca="false">E281*Y281</f>
        <v>0</v>
      </c>
      <c r="G281" s="118" t="n">
        <f aca="false">VLOOKUP($A281,Table,MATCH(G$4,Curves,0))</f>
        <v>3</v>
      </c>
      <c r="H281" s="119" t="n">
        <f aca="false">G281+$H$7</f>
        <v>3</v>
      </c>
      <c r="I281" s="118" t="n">
        <f aca="false">'Inputs-Summary'!$B$16</f>
        <v>1.85</v>
      </c>
      <c r="J281" s="118" t="n">
        <f aca="false">VLOOKUP($A281,Table,MATCH(J$4,Curves,0))</f>
        <v>5</v>
      </c>
      <c r="K281" s="119" t="n">
        <f aca="false">J281+$K$7</f>
        <v>5</v>
      </c>
      <c r="L281" s="120" t="n">
        <f aca="false">K281</f>
        <v>5</v>
      </c>
      <c r="M281" s="118" t="n">
        <f aca="false">VLOOKUP($A281,Table,MATCH(M$4,Curves,0))</f>
        <v>5</v>
      </c>
      <c r="N281" s="119" t="n">
        <f aca="false">M281+$N$7</f>
        <v>5</v>
      </c>
      <c r="O281" s="120" t="n">
        <f aca="false">N281</f>
        <v>5</v>
      </c>
      <c r="P281" s="109"/>
      <c r="Q281" s="120" t="n">
        <f aca="false">IF($F$3=1,M281+J281+G281,J281+G281)</f>
        <v>8</v>
      </c>
      <c r="R281" s="120" t="n">
        <f aca="false">IF($F$3=1,N281+K281+H281,K281+H281)</f>
        <v>8</v>
      </c>
      <c r="S281" s="120" t="n">
        <f aca="false">IF($F$3=1,O281+L281+I281,L281+I281)</f>
        <v>6.85</v>
      </c>
      <c r="T281" s="121"/>
      <c r="U281" s="67" t="n">
        <f aca="false">A282-A281</f>
        <v>31</v>
      </c>
      <c r="V281" s="122" t="n">
        <f aca="false">CHOOSE(F$3,A282+24,A281)</f>
        <v>45505</v>
      </c>
      <c r="W281" s="67" t="n">
        <f aca="false">V281-C$3</f>
        <v>-421</v>
      </c>
      <c r="X281" s="118" t="n">
        <f aca="false">VLOOKUP($A281,Table,MATCH(X$4,Curves,0))</f>
        <v>2</v>
      </c>
      <c r="Y281" s="123" t="n">
        <f aca="false">1/(1+CHOOSE(F$3,(X282+($K$3/10000))/2,(X281+($K$3/10000))/2))^(2*W281/365.25)</f>
        <v>4.94260071097029</v>
      </c>
      <c r="Z281" s="67" t="n">
        <f aca="false">IF(AND(mthbeg&lt;=A281,mthend&gt;=A281),1,0)</f>
        <v>0</v>
      </c>
      <c r="AA281" s="67" t="n">
        <f aca="false">U281*Z281</f>
        <v>0</v>
      </c>
      <c r="AC281" s="110" t="n">
        <f aca="false">F281*(H281-I281)</f>
        <v>0</v>
      </c>
      <c r="AD281" s="49"/>
      <c r="AE281" s="124"/>
    </row>
    <row r="282" customFormat="false" ht="12" hidden="false" customHeight="true" outlineLevel="0" collapsed="false">
      <c r="A282" s="115" t="n">
        <f aca="false">EDATE(A281,1)</f>
        <v>45536</v>
      </c>
      <c r="B282" s="116" t="n">
        <f aca="false">'Inputs-Summary'!$B$7</f>
        <v>3017157.21662952</v>
      </c>
      <c r="C282" s="57"/>
      <c r="D282" s="117" t="n">
        <f aca="false">B282+C282</f>
        <v>3017157.21662952</v>
      </c>
      <c r="E282" s="106" t="n">
        <f aca="false">IF(Z282=0,0,IF(AND(Z282=1,$H$3=1),D282*U282,IF($H$3=2,D282,"N/A")))</f>
        <v>0</v>
      </c>
      <c r="F282" s="106" t="n">
        <f aca="false">E282*Y282</f>
        <v>0</v>
      </c>
      <c r="G282" s="118" t="n">
        <f aca="false">VLOOKUP($A282,Table,MATCH(G$4,Curves,0))</f>
        <v>3</v>
      </c>
      <c r="H282" s="119" t="n">
        <f aca="false">G282+$H$7</f>
        <v>3</v>
      </c>
      <c r="I282" s="118" t="n">
        <f aca="false">'Inputs-Summary'!$B$16</f>
        <v>1.85</v>
      </c>
      <c r="J282" s="118" t="n">
        <f aca="false">VLOOKUP($A282,Table,MATCH(J$4,Curves,0))</f>
        <v>5</v>
      </c>
      <c r="K282" s="119" t="n">
        <f aca="false">J282+$K$7</f>
        <v>5</v>
      </c>
      <c r="L282" s="120" t="n">
        <f aca="false">K282</f>
        <v>5</v>
      </c>
      <c r="M282" s="118" t="n">
        <f aca="false">VLOOKUP($A282,Table,MATCH(M$4,Curves,0))</f>
        <v>5</v>
      </c>
      <c r="N282" s="119" t="n">
        <f aca="false">M282+$N$7</f>
        <v>5</v>
      </c>
      <c r="O282" s="120" t="n">
        <f aca="false">N282</f>
        <v>5</v>
      </c>
      <c r="P282" s="109"/>
      <c r="Q282" s="120" t="n">
        <f aca="false">IF($F$3=1,M282+J282+G282,J282+G282)</f>
        <v>8</v>
      </c>
      <c r="R282" s="120" t="n">
        <f aca="false">IF($F$3=1,N282+K282+H282,K282+H282)</f>
        <v>8</v>
      </c>
      <c r="S282" s="120" t="n">
        <f aca="false">IF($F$3=1,O282+L282+I282,L282+I282)</f>
        <v>6.85</v>
      </c>
      <c r="T282" s="121"/>
      <c r="U282" s="67" t="n">
        <f aca="false">A283-A282</f>
        <v>30</v>
      </c>
      <c r="V282" s="122" t="n">
        <f aca="false">CHOOSE(F$3,A283+24,A282)</f>
        <v>45536</v>
      </c>
      <c r="W282" s="67" t="n">
        <f aca="false">V282-C$3</f>
        <v>-390</v>
      </c>
      <c r="X282" s="118" t="n">
        <f aca="false">VLOOKUP($A282,Table,MATCH(X$4,Curves,0))</f>
        <v>2</v>
      </c>
      <c r="Y282" s="123" t="n">
        <f aca="false">1/(1+CHOOSE(F$3,(X283+($K$3/10000))/2,(X282+($K$3/10000))/2))^(2*W282/365.25)</f>
        <v>4.39396571847637</v>
      </c>
      <c r="Z282" s="67" t="n">
        <f aca="false">IF(AND(mthbeg&lt;=A282,mthend&gt;=A282),1,0)</f>
        <v>0</v>
      </c>
      <c r="AA282" s="67" t="n">
        <f aca="false">U282*Z282</f>
        <v>0</v>
      </c>
      <c r="AC282" s="110" t="n">
        <f aca="false">F282*(H282-I282)</f>
        <v>0</v>
      </c>
      <c r="AD282" s="49"/>
      <c r="AE282" s="124"/>
    </row>
    <row r="283" customFormat="false" ht="12" hidden="false" customHeight="true" outlineLevel="0" collapsed="false">
      <c r="A283" s="115" t="n">
        <f aca="false">EDATE(A282,1)</f>
        <v>45566</v>
      </c>
      <c r="B283" s="116" t="n">
        <f aca="false">'Inputs-Summary'!$B$7</f>
        <v>3017157.21662952</v>
      </c>
      <c r="C283" s="57"/>
      <c r="D283" s="117" t="n">
        <f aca="false">B283+C283</f>
        <v>3017157.21662952</v>
      </c>
      <c r="E283" s="106" t="n">
        <f aca="false">IF(Z283=0,0,IF(AND(Z283=1,$H$3=1),D283*U283,IF($H$3=2,D283,"N/A")))</f>
        <v>0</v>
      </c>
      <c r="F283" s="106" t="n">
        <f aca="false">E283*Y283</f>
        <v>0</v>
      </c>
      <c r="G283" s="118" t="n">
        <f aca="false">VLOOKUP($A283,Table,MATCH(G$4,Curves,0))</f>
        <v>3</v>
      </c>
      <c r="H283" s="119" t="n">
        <f aca="false">G283+$H$7</f>
        <v>3</v>
      </c>
      <c r="I283" s="118" t="n">
        <f aca="false">'Inputs-Summary'!$B$16</f>
        <v>1.85</v>
      </c>
      <c r="J283" s="118" t="n">
        <f aca="false">VLOOKUP($A283,Table,MATCH(J$4,Curves,0))</f>
        <v>5</v>
      </c>
      <c r="K283" s="119" t="n">
        <f aca="false">J283+$K$7</f>
        <v>5</v>
      </c>
      <c r="L283" s="120" t="n">
        <f aca="false">K283</f>
        <v>5</v>
      </c>
      <c r="M283" s="118" t="n">
        <f aca="false">VLOOKUP($A283,Table,MATCH(M$4,Curves,0))</f>
        <v>5</v>
      </c>
      <c r="N283" s="119" t="n">
        <f aca="false">M283+$N$7</f>
        <v>5</v>
      </c>
      <c r="O283" s="120" t="n">
        <f aca="false">N283</f>
        <v>5</v>
      </c>
      <c r="P283" s="109"/>
      <c r="Q283" s="120" t="n">
        <f aca="false">IF($F$3=1,M283+J283+G283,J283+G283)</f>
        <v>8</v>
      </c>
      <c r="R283" s="120" t="n">
        <f aca="false">IF($F$3=1,N283+K283+H283,K283+H283)</f>
        <v>8</v>
      </c>
      <c r="S283" s="120" t="n">
        <f aca="false">IF($F$3=1,O283+L283+I283,L283+I283)</f>
        <v>6.85</v>
      </c>
      <c r="T283" s="121"/>
      <c r="U283" s="67" t="n">
        <f aca="false">A284-A283</f>
        <v>31</v>
      </c>
      <c r="V283" s="122" t="n">
        <f aca="false">CHOOSE(F$3,A284+24,A283)</f>
        <v>45566</v>
      </c>
      <c r="W283" s="67" t="n">
        <f aca="false">V283-C$3</f>
        <v>-360</v>
      </c>
      <c r="X283" s="118" t="n">
        <f aca="false">VLOOKUP($A283,Table,MATCH(X$4,Curves,0))</f>
        <v>2</v>
      </c>
      <c r="Y283" s="123" t="n">
        <f aca="false">1/(1+CHOOSE(F$3,(X284+($K$3/10000))/2,(X283+($K$3/10000))/2))^(2*W283/365.25)</f>
        <v>3.92108404947202</v>
      </c>
      <c r="Z283" s="67" t="n">
        <f aca="false">IF(AND(mthbeg&lt;=A283,mthend&gt;=A283),1,0)</f>
        <v>0</v>
      </c>
      <c r="AA283" s="67" t="n">
        <f aca="false">U283*Z283</f>
        <v>0</v>
      </c>
      <c r="AC283" s="110" t="n">
        <f aca="false">F283*(H283-I283)</f>
        <v>0</v>
      </c>
      <c r="AD283" s="49"/>
      <c r="AE283" s="124"/>
    </row>
    <row r="284" customFormat="false" ht="12" hidden="false" customHeight="true" outlineLevel="0" collapsed="false">
      <c r="A284" s="115" t="n">
        <f aca="false">EDATE(A283,1)</f>
        <v>45597</v>
      </c>
      <c r="B284" s="116" t="n">
        <f aca="false">'Inputs-Summary'!$B$7</f>
        <v>3017157.21662952</v>
      </c>
      <c r="C284" s="57"/>
      <c r="D284" s="117" t="n">
        <f aca="false">B284+C284</f>
        <v>3017157.21662952</v>
      </c>
      <c r="E284" s="106" t="n">
        <f aca="false">IF(Z284=0,0,IF(AND(Z284=1,$H$3=1),D284*U284,IF($H$3=2,D284,"N/A")))</f>
        <v>0</v>
      </c>
      <c r="F284" s="106" t="n">
        <f aca="false">E284*Y284</f>
        <v>0</v>
      </c>
      <c r="G284" s="118" t="n">
        <f aca="false">VLOOKUP($A284,Table,MATCH(G$4,Curves,0))</f>
        <v>3</v>
      </c>
      <c r="H284" s="119" t="n">
        <f aca="false">G284+$H$7</f>
        <v>3</v>
      </c>
      <c r="I284" s="118" t="n">
        <f aca="false">'Inputs-Summary'!$B$16</f>
        <v>1.85</v>
      </c>
      <c r="J284" s="118" t="n">
        <f aca="false">VLOOKUP($A284,Table,MATCH(J$4,Curves,0))</f>
        <v>5</v>
      </c>
      <c r="K284" s="119" t="n">
        <f aca="false">J284+$K$7</f>
        <v>5</v>
      </c>
      <c r="L284" s="120" t="n">
        <f aca="false">K284</f>
        <v>5</v>
      </c>
      <c r="M284" s="118" t="n">
        <f aca="false">VLOOKUP($A284,Table,MATCH(M$4,Curves,0))</f>
        <v>5</v>
      </c>
      <c r="N284" s="119" t="n">
        <f aca="false">M284+$N$7</f>
        <v>5</v>
      </c>
      <c r="O284" s="120" t="n">
        <f aca="false">N284</f>
        <v>5</v>
      </c>
      <c r="P284" s="109"/>
      <c r="Q284" s="120" t="n">
        <f aca="false">IF($F$3=1,M284+J284+G284,J284+G284)</f>
        <v>8</v>
      </c>
      <c r="R284" s="120" t="n">
        <f aca="false">IF($F$3=1,N284+K284+H284,K284+H284)</f>
        <v>8</v>
      </c>
      <c r="S284" s="120" t="n">
        <f aca="false">IF($F$3=1,O284+L284+I284,L284+I284)</f>
        <v>6.85</v>
      </c>
      <c r="T284" s="121"/>
      <c r="U284" s="67" t="n">
        <f aca="false">A285-A284</f>
        <v>30</v>
      </c>
      <c r="V284" s="122" t="n">
        <f aca="false">CHOOSE(F$3,A285+24,A284)</f>
        <v>45597</v>
      </c>
      <c r="W284" s="67" t="n">
        <f aca="false">V284-C$3</f>
        <v>-329</v>
      </c>
      <c r="X284" s="118" t="n">
        <f aca="false">VLOOKUP($A284,Table,MATCH(X$4,Curves,0))</f>
        <v>2</v>
      </c>
      <c r="Y284" s="123" t="n">
        <f aca="false">1/(1+CHOOSE(F$3,(X285+($K$3/10000))/2,(X284+($K$3/10000))/2))^(2*W284/365.25)</f>
        <v>3.48583871126873</v>
      </c>
      <c r="Z284" s="67" t="n">
        <f aca="false">IF(AND(mthbeg&lt;=A284,mthend&gt;=A284),1,0)</f>
        <v>0</v>
      </c>
      <c r="AA284" s="67" t="n">
        <f aca="false">U284*Z284</f>
        <v>0</v>
      </c>
      <c r="AC284" s="110" t="n">
        <f aca="false">F284*(H284-I284)</f>
        <v>0</v>
      </c>
      <c r="AD284" s="49"/>
      <c r="AE284" s="124"/>
    </row>
    <row r="285" customFormat="false" ht="12" hidden="false" customHeight="true" outlineLevel="0" collapsed="false">
      <c r="A285" s="115" t="n">
        <f aca="false">EDATE(A284,1)</f>
        <v>45627</v>
      </c>
      <c r="B285" s="116" t="n">
        <f aca="false">'Inputs-Summary'!$B$7</f>
        <v>3017157.21662952</v>
      </c>
      <c r="C285" s="57"/>
      <c r="D285" s="117" t="n">
        <f aca="false">B285+C285</f>
        <v>3017157.21662952</v>
      </c>
      <c r="E285" s="106" t="n">
        <f aca="false">IF(Z285=0,0,IF(AND(Z285=1,$H$3=1),D285*U285,IF($H$3=2,D285,"N/A")))</f>
        <v>0</v>
      </c>
      <c r="F285" s="106" t="n">
        <f aca="false">E285*Y285</f>
        <v>0</v>
      </c>
      <c r="G285" s="118" t="n">
        <f aca="false">VLOOKUP($A285,Table,MATCH(G$4,Curves,0))</f>
        <v>3</v>
      </c>
      <c r="H285" s="119" t="n">
        <f aca="false">G285+$H$7</f>
        <v>3</v>
      </c>
      <c r="I285" s="118" t="n">
        <f aca="false">'Inputs-Summary'!$B$16</f>
        <v>1.85</v>
      </c>
      <c r="J285" s="118" t="n">
        <f aca="false">VLOOKUP($A285,Table,MATCH(J$4,Curves,0))</f>
        <v>5</v>
      </c>
      <c r="K285" s="119" t="n">
        <f aca="false">J285+$K$7</f>
        <v>5</v>
      </c>
      <c r="L285" s="120" t="n">
        <f aca="false">K285</f>
        <v>5</v>
      </c>
      <c r="M285" s="118" t="n">
        <f aca="false">VLOOKUP($A285,Table,MATCH(M$4,Curves,0))</f>
        <v>5</v>
      </c>
      <c r="N285" s="119" t="n">
        <f aca="false">M285+$N$7</f>
        <v>5</v>
      </c>
      <c r="O285" s="120" t="n">
        <f aca="false">N285</f>
        <v>5</v>
      </c>
      <c r="P285" s="109"/>
      <c r="Q285" s="120" t="n">
        <f aca="false">IF($F$3=1,M285+J285+G285,J285+G285)</f>
        <v>8</v>
      </c>
      <c r="R285" s="120" t="n">
        <f aca="false">IF($F$3=1,N285+K285+H285,K285+H285)</f>
        <v>8</v>
      </c>
      <c r="S285" s="120" t="n">
        <f aca="false">IF($F$3=1,O285+L285+I285,L285+I285)</f>
        <v>6.85</v>
      </c>
      <c r="T285" s="121"/>
      <c r="U285" s="67" t="n">
        <f aca="false">A286-A285</f>
        <v>31</v>
      </c>
      <c r="V285" s="122" t="n">
        <f aca="false">CHOOSE(F$3,A286+24,A285)</f>
        <v>45627</v>
      </c>
      <c r="W285" s="67" t="n">
        <f aca="false">V285-C$3</f>
        <v>-299</v>
      </c>
      <c r="X285" s="118" t="n">
        <f aca="false">VLOOKUP($A285,Table,MATCH(X$4,Curves,0))</f>
        <v>2</v>
      </c>
      <c r="Y285" s="123" t="n">
        <f aca="false">1/(1+CHOOSE(F$3,(X286+($K$3/10000))/2,(X285+($K$3/10000))/2))^(2*W285/365.25)</f>
        <v>3.11069030700756</v>
      </c>
      <c r="Z285" s="67" t="n">
        <f aca="false">IF(AND(mthbeg&lt;=A285,mthend&gt;=A285),1,0)</f>
        <v>0</v>
      </c>
      <c r="AA285" s="67" t="n">
        <f aca="false">U285*Z285</f>
        <v>0</v>
      </c>
      <c r="AC285" s="110" t="n">
        <f aca="false">F285*(H285-I285)</f>
        <v>0</v>
      </c>
      <c r="AD285" s="49"/>
      <c r="AE285" s="124"/>
    </row>
    <row r="286" customFormat="false" ht="12" hidden="false" customHeight="true" outlineLevel="0" collapsed="false">
      <c r="A286" s="115" t="n">
        <f aca="false">EDATE(A285,1)</f>
        <v>45658</v>
      </c>
      <c r="B286" s="116" t="n">
        <f aca="false">'Inputs-Summary'!$B$7</f>
        <v>3017157.21662952</v>
      </c>
      <c r="C286" s="57"/>
      <c r="D286" s="117" t="n">
        <f aca="false">B286+C286</f>
        <v>3017157.21662952</v>
      </c>
      <c r="E286" s="106" t="n">
        <f aca="false">IF(Z286=0,0,IF(AND(Z286=1,$H$3=1),D286*U286,IF($H$3=2,D286,"N/A")))</f>
        <v>0</v>
      </c>
      <c r="F286" s="106" t="n">
        <f aca="false">E286*Y286</f>
        <v>0</v>
      </c>
      <c r="G286" s="118" t="n">
        <f aca="false">VLOOKUP($A286,Table,MATCH(G$4,Curves,0))</f>
        <v>3</v>
      </c>
      <c r="H286" s="119" t="n">
        <f aca="false">G286+$H$7</f>
        <v>3</v>
      </c>
      <c r="I286" s="118" t="n">
        <f aca="false">'Inputs-Summary'!$B$16</f>
        <v>1.85</v>
      </c>
      <c r="J286" s="118" t="n">
        <f aca="false">VLOOKUP($A286,Table,MATCH(J$4,Curves,0))</f>
        <v>5</v>
      </c>
      <c r="K286" s="119" t="n">
        <f aca="false">J286+$K$7</f>
        <v>5</v>
      </c>
      <c r="L286" s="120" t="n">
        <f aca="false">K286</f>
        <v>5</v>
      </c>
      <c r="M286" s="118" t="n">
        <f aca="false">VLOOKUP($A286,Table,MATCH(M$4,Curves,0))</f>
        <v>5</v>
      </c>
      <c r="N286" s="119" t="n">
        <f aca="false">M286+$N$7</f>
        <v>5</v>
      </c>
      <c r="O286" s="120" t="n">
        <f aca="false">N286</f>
        <v>5</v>
      </c>
      <c r="P286" s="109"/>
      <c r="Q286" s="120" t="n">
        <f aca="false">IF($F$3=1,M286+J286+G286,J286+G286)</f>
        <v>8</v>
      </c>
      <c r="R286" s="120" t="n">
        <f aca="false">IF($F$3=1,N286+K286+H286,K286+H286)</f>
        <v>8</v>
      </c>
      <c r="S286" s="120" t="n">
        <f aca="false">IF($F$3=1,O286+L286+I286,L286+I286)</f>
        <v>6.85</v>
      </c>
      <c r="T286" s="121"/>
      <c r="U286" s="67" t="n">
        <f aca="false">A287-A286</f>
        <v>31</v>
      </c>
      <c r="V286" s="122" t="n">
        <f aca="false">CHOOSE(F$3,A287+24,A286)</f>
        <v>45658</v>
      </c>
      <c r="W286" s="67" t="n">
        <f aca="false">V286-C$3</f>
        <v>-268</v>
      </c>
      <c r="X286" s="118" t="n">
        <f aca="false">VLOOKUP($A286,Table,MATCH(X$4,Curves,0))</f>
        <v>2</v>
      </c>
      <c r="Y286" s="123" t="n">
        <f aca="false">1/(1+CHOOSE(F$3,(X287+($K$3/10000))/2,(X286+($K$3/10000))/2))^(2*W286/365.25)</f>
        <v>2.76539970939807</v>
      </c>
      <c r="Z286" s="67" t="n">
        <f aca="false">IF(AND(mthbeg&lt;=A286,mthend&gt;=A286),1,0)</f>
        <v>0</v>
      </c>
      <c r="AA286" s="67" t="n">
        <f aca="false">U286*Z286</f>
        <v>0</v>
      </c>
      <c r="AC286" s="110" t="n">
        <f aca="false">F286*(H286-I286)</f>
        <v>0</v>
      </c>
      <c r="AD286" s="49"/>
      <c r="AE286" s="124"/>
    </row>
    <row r="287" customFormat="false" ht="12" hidden="false" customHeight="true" outlineLevel="0" collapsed="false">
      <c r="A287" s="115" t="n">
        <f aca="false">EDATE(A286,1)</f>
        <v>45689</v>
      </c>
      <c r="B287" s="116" t="n">
        <f aca="false">'Inputs-Summary'!$B$7</f>
        <v>3017157.21662952</v>
      </c>
      <c r="C287" s="57"/>
      <c r="D287" s="117" t="n">
        <f aca="false">B287+C287</f>
        <v>3017157.21662952</v>
      </c>
      <c r="E287" s="106" t="n">
        <f aca="false">IF(Z287=0,0,IF(AND(Z287=1,$H$3=1),D287*U287,IF($H$3=2,D287,"N/A")))</f>
        <v>0</v>
      </c>
      <c r="F287" s="106" t="n">
        <f aca="false">E287*Y287</f>
        <v>0</v>
      </c>
      <c r="G287" s="118" t="n">
        <f aca="false">VLOOKUP($A287,Table,MATCH(G$4,Curves,0))</f>
        <v>3</v>
      </c>
      <c r="H287" s="119" t="n">
        <f aca="false">G287+$H$7</f>
        <v>3</v>
      </c>
      <c r="I287" s="118" t="n">
        <f aca="false">'Inputs-Summary'!$B$16</f>
        <v>1.85</v>
      </c>
      <c r="J287" s="118" t="n">
        <f aca="false">VLOOKUP($A287,Table,MATCH(J$4,Curves,0))</f>
        <v>5</v>
      </c>
      <c r="K287" s="119" t="n">
        <f aca="false">J287+$K$7</f>
        <v>5</v>
      </c>
      <c r="L287" s="120" t="n">
        <f aca="false">K287</f>
        <v>5</v>
      </c>
      <c r="M287" s="118" t="n">
        <f aca="false">VLOOKUP($A287,Table,MATCH(M$4,Curves,0))</f>
        <v>5</v>
      </c>
      <c r="N287" s="119" t="n">
        <f aca="false">M287+$N$7</f>
        <v>5</v>
      </c>
      <c r="O287" s="120" t="n">
        <f aca="false">N287</f>
        <v>5</v>
      </c>
      <c r="P287" s="109"/>
      <c r="Q287" s="120" t="n">
        <f aca="false">IF($F$3=1,M287+J287+G287,J287+G287)</f>
        <v>8</v>
      </c>
      <c r="R287" s="120" t="n">
        <f aca="false">IF($F$3=1,N287+K287+H287,K287+H287)</f>
        <v>8</v>
      </c>
      <c r="S287" s="120" t="n">
        <f aca="false">IF($F$3=1,O287+L287+I287,L287+I287)</f>
        <v>6.85</v>
      </c>
      <c r="T287" s="121"/>
      <c r="U287" s="67" t="n">
        <f aca="false">A288-A287</f>
        <v>28</v>
      </c>
      <c r="V287" s="122" t="n">
        <f aca="false">CHOOSE(F$3,A288+24,A287)</f>
        <v>45689</v>
      </c>
      <c r="W287" s="67" t="n">
        <f aca="false">V287-C$3</f>
        <v>-237</v>
      </c>
      <c r="X287" s="118" t="n">
        <f aca="false">VLOOKUP($A287,Table,MATCH(X$4,Curves,0))</f>
        <v>2</v>
      </c>
      <c r="Y287" s="123" t="n">
        <f aca="false">1/(1+CHOOSE(F$3,(X288+($K$3/10000))/2,(X287+($K$3/10000))/2))^(2*W287/365.25)</f>
        <v>2.45843680919032</v>
      </c>
      <c r="Z287" s="67" t="n">
        <f aca="false">IF(AND(mthbeg&lt;=A287,mthend&gt;=A287),1,0)</f>
        <v>0</v>
      </c>
      <c r="AA287" s="67" t="n">
        <f aca="false">U287*Z287</f>
        <v>0</v>
      </c>
      <c r="AC287" s="110" t="n">
        <f aca="false">F287*(H287-I287)</f>
        <v>0</v>
      </c>
      <c r="AD287" s="49"/>
      <c r="AE287" s="124"/>
    </row>
    <row r="288" customFormat="false" ht="12" hidden="false" customHeight="true" outlineLevel="0" collapsed="false">
      <c r="A288" s="115" t="n">
        <f aca="false">EDATE(A287,1)</f>
        <v>45717</v>
      </c>
      <c r="B288" s="116" t="n">
        <f aca="false">'Inputs-Summary'!$B$7</f>
        <v>3017157.21662952</v>
      </c>
      <c r="C288" s="57"/>
      <c r="D288" s="117" t="n">
        <f aca="false">B288+C288</f>
        <v>3017157.21662952</v>
      </c>
      <c r="E288" s="106" t="n">
        <f aca="false">IF(Z288=0,0,IF(AND(Z288=1,$H$3=1),D288*U288,IF($H$3=2,D288,"N/A")))</f>
        <v>0</v>
      </c>
      <c r="F288" s="106" t="n">
        <f aca="false">E288*Y288</f>
        <v>0</v>
      </c>
      <c r="G288" s="118" t="n">
        <f aca="false">VLOOKUP($A288,Table,MATCH(G$4,Curves,0))</f>
        <v>3</v>
      </c>
      <c r="H288" s="119" t="n">
        <f aca="false">G288+$H$7</f>
        <v>3</v>
      </c>
      <c r="I288" s="118" t="n">
        <f aca="false">'Inputs-Summary'!$B$16</f>
        <v>1.85</v>
      </c>
      <c r="J288" s="118" t="n">
        <f aca="false">VLOOKUP($A288,Table,MATCH(J$4,Curves,0))</f>
        <v>5</v>
      </c>
      <c r="K288" s="119" t="n">
        <f aca="false">J288+$K$7</f>
        <v>5</v>
      </c>
      <c r="L288" s="120" t="n">
        <f aca="false">K288</f>
        <v>5</v>
      </c>
      <c r="M288" s="118" t="n">
        <f aca="false">VLOOKUP($A288,Table,MATCH(M$4,Curves,0))</f>
        <v>5</v>
      </c>
      <c r="N288" s="119" t="n">
        <f aca="false">M288+$N$7</f>
        <v>5</v>
      </c>
      <c r="O288" s="120" t="n">
        <f aca="false">N288</f>
        <v>5</v>
      </c>
      <c r="P288" s="109"/>
      <c r="Q288" s="120" t="n">
        <f aca="false">IF($F$3=1,M288+J288+G288,J288+G288)</f>
        <v>8</v>
      </c>
      <c r="R288" s="120" t="n">
        <f aca="false">IF($F$3=1,N288+K288+H288,K288+H288)</f>
        <v>8</v>
      </c>
      <c r="S288" s="120" t="n">
        <f aca="false">IF($F$3=1,O288+L288+I288,L288+I288)</f>
        <v>6.85</v>
      </c>
      <c r="T288" s="121"/>
      <c r="U288" s="67" t="n">
        <f aca="false">A289-A288</f>
        <v>31</v>
      </c>
      <c r="V288" s="122" t="n">
        <f aca="false">CHOOSE(F$3,A289+24,A288)</f>
        <v>45717</v>
      </c>
      <c r="W288" s="67" t="n">
        <f aca="false">V288-C$3</f>
        <v>-209</v>
      </c>
      <c r="X288" s="118" t="n">
        <f aca="false">VLOOKUP($A288,Table,MATCH(X$4,Curves,0))</f>
        <v>2</v>
      </c>
      <c r="Y288" s="123" t="n">
        <f aca="false">1/(1+CHOOSE(F$3,(X289+($K$3/10000))/2,(X288+($K$3/10000))/2))^(2*W288/365.25)</f>
        <v>2.21057491786376</v>
      </c>
      <c r="Z288" s="67" t="n">
        <f aca="false">IF(AND(mthbeg&lt;=A288,mthend&gt;=A288),1,0)</f>
        <v>0</v>
      </c>
      <c r="AA288" s="67" t="n">
        <f aca="false">U288*Z288</f>
        <v>0</v>
      </c>
      <c r="AC288" s="110" t="n">
        <f aca="false">F288*(H288-I288)</f>
        <v>0</v>
      </c>
      <c r="AD288" s="49"/>
      <c r="AE288" s="124"/>
    </row>
    <row r="289" customFormat="false" ht="12" hidden="false" customHeight="true" outlineLevel="0" collapsed="false">
      <c r="A289" s="115" t="n">
        <f aca="false">EDATE(A288,1)</f>
        <v>45748</v>
      </c>
      <c r="B289" s="116" t="n">
        <f aca="false">'Inputs-Summary'!$B$7</f>
        <v>3017157.21662952</v>
      </c>
      <c r="C289" s="57"/>
      <c r="D289" s="117" t="n">
        <f aca="false">B289+C289</f>
        <v>3017157.21662952</v>
      </c>
      <c r="E289" s="106" t="n">
        <f aca="false">IF(Z289=0,0,IF(AND(Z289=1,$H$3=1),D289*U289,IF($H$3=2,D289,"N/A")))</f>
        <v>0</v>
      </c>
      <c r="F289" s="106" t="n">
        <f aca="false">E289*Y289</f>
        <v>0</v>
      </c>
      <c r="G289" s="118" t="n">
        <f aca="false">VLOOKUP($A289,Table,MATCH(G$4,Curves,0))</f>
        <v>3</v>
      </c>
      <c r="H289" s="119" t="n">
        <f aca="false">G289+$H$7</f>
        <v>3</v>
      </c>
      <c r="I289" s="118" t="n">
        <f aca="false">'Inputs-Summary'!$B$16</f>
        <v>1.85</v>
      </c>
      <c r="J289" s="118" t="n">
        <f aca="false">VLOOKUP($A289,Table,MATCH(J$4,Curves,0))</f>
        <v>5</v>
      </c>
      <c r="K289" s="119" t="n">
        <f aca="false">J289+$K$7</f>
        <v>5</v>
      </c>
      <c r="L289" s="120" t="n">
        <f aca="false">K289</f>
        <v>5</v>
      </c>
      <c r="M289" s="118" t="n">
        <f aca="false">VLOOKUP($A289,Table,MATCH(M$4,Curves,0))</f>
        <v>5</v>
      </c>
      <c r="N289" s="119" t="n">
        <f aca="false">M289+$N$7</f>
        <v>5</v>
      </c>
      <c r="O289" s="120" t="n">
        <f aca="false">N289</f>
        <v>5</v>
      </c>
      <c r="P289" s="109"/>
      <c r="Q289" s="120" t="n">
        <f aca="false">IF($F$3=1,M289+J289+G289,J289+G289)</f>
        <v>8</v>
      </c>
      <c r="R289" s="120" t="n">
        <f aca="false">IF($F$3=1,N289+K289+H289,K289+H289)</f>
        <v>8</v>
      </c>
      <c r="S289" s="120" t="n">
        <f aca="false">IF($F$3=1,O289+L289+I289,L289+I289)</f>
        <v>6.85</v>
      </c>
      <c r="T289" s="121"/>
      <c r="U289" s="67" t="n">
        <f aca="false">A290-A289</f>
        <v>30</v>
      </c>
      <c r="V289" s="122" t="n">
        <f aca="false">CHOOSE(F$3,A290+24,A289)</f>
        <v>45748</v>
      </c>
      <c r="W289" s="67" t="n">
        <f aca="false">V289-C$3</f>
        <v>-178</v>
      </c>
      <c r="X289" s="118" t="n">
        <f aca="false">VLOOKUP($A289,Table,MATCH(X$4,Curves,0))</f>
        <v>2</v>
      </c>
      <c r="Y289" s="123" t="n">
        <f aca="false">1/(1+CHOOSE(F$3,(X290+($K$3/10000))/2,(X289+($K$3/10000))/2))^(2*W289/365.25)</f>
        <v>1.96519827823807</v>
      </c>
      <c r="Z289" s="67" t="n">
        <f aca="false">IF(AND(mthbeg&lt;=A289,mthend&gt;=A289),1,0)</f>
        <v>0</v>
      </c>
      <c r="AA289" s="67" t="n">
        <f aca="false">U289*Z289</f>
        <v>0</v>
      </c>
      <c r="AC289" s="110" t="n">
        <f aca="false">F289*(H289-I289)</f>
        <v>0</v>
      </c>
      <c r="AD289" s="49"/>
      <c r="AE289" s="124"/>
    </row>
    <row r="290" customFormat="false" ht="12" hidden="false" customHeight="true" outlineLevel="0" collapsed="false">
      <c r="A290" s="115" t="n">
        <f aca="false">EDATE(A289,1)</f>
        <v>45778</v>
      </c>
      <c r="B290" s="116" t="n">
        <f aca="false">'Inputs-Summary'!$B$7</f>
        <v>3017157.21662952</v>
      </c>
      <c r="C290" s="57"/>
      <c r="D290" s="117" t="n">
        <f aca="false">B290+C290</f>
        <v>3017157.21662952</v>
      </c>
      <c r="E290" s="106" t="n">
        <f aca="false">IF(Z290=0,0,IF(AND(Z290=1,$H$3=1),D290*U290,IF($H$3=2,D290,"N/A")))</f>
        <v>0</v>
      </c>
      <c r="F290" s="106" t="n">
        <f aca="false">E290*Y290</f>
        <v>0</v>
      </c>
      <c r="G290" s="118" t="n">
        <f aca="false">VLOOKUP($A290,Table,MATCH(G$4,Curves,0))</f>
        <v>3</v>
      </c>
      <c r="H290" s="119" t="n">
        <f aca="false">G290+$H$7</f>
        <v>3</v>
      </c>
      <c r="I290" s="118" t="n">
        <f aca="false">'Inputs-Summary'!$B$16</f>
        <v>1.85</v>
      </c>
      <c r="J290" s="118" t="n">
        <f aca="false">VLOOKUP($A290,Table,MATCH(J$4,Curves,0))</f>
        <v>5</v>
      </c>
      <c r="K290" s="119" t="n">
        <f aca="false">J290+$K$7</f>
        <v>5</v>
      </c>
      <c r="L290" s="120" t="n">
        <f aca="false">K290</f>
        <v>5</v>
      </c>
      <c r="M290" s="118" t="n">
        <f aca="false">VLOOKUP($A290,Table,MATCH(M$4,Curves,0))</f>
        <v>5</v>
      </c>
      <c r="N290" s="119" t="n">
        <f aca="false">M290+$N$7</f>
        <v>5</v>
      </c>
      <c r="O290" s="120" t="n">
        <f aca="false">N290</f>
        <v>5</v>
      </c>
      <c r="P290" s="109"/>
      <c r="Q290" s="120" t="n">
        <f aca="false">IF($F$3=1,M290+J290+G290,J290+G290)</f>
        <v>8</v>
      </c>
      <c r="R290" s="120" t="n">
        <f aca="false">IF($F$3=1,N290+K290+H290,K290+H290)</f>
        <v>8</v>
      </c>
      <c r="S290" s="120" t="n">
        <f aca="false">IF($F$3=1,O290+L290+I290,L290+I290)</f>
        <v>6.85</v>
      </c>
      <c r="T290" s="121"/>
      <c r="U290" s="67" t="n">
        <f aca="false">A291-A290</f>
        <v>31</v>
      </c>
      <c r="V290" s="122" t="n">
        <f aca="false">CHOOSE(F$3,A291+24,A290)</f>
        <v>45778</v>
      </c>
      <c r="W290" s="67" t="n">
        <f aca="false">V290-C$3</f>
        <v>-148</v>
      </c>
      <c r="X290" s="118" t="n">
        <f aca="false">VLOOKUP($A290,Table,MATCH(X$4,Curves,0))</f>
        <v>2</v>
      </c>
      <c r="Y290" s="123" t="n">
        <f aca="false">1/(1+CHOOSE(F$3,(X291+($K$3/10000))/2,(X290+($K$3/10000))/2))^(2*W290/365.25)</f>
        <v>1.7537022627298</v>
      </c>
      <c r="Z290" s="67" t="n">
        <f aca="false">IF(AND(mthbeg&lt;=A290,mthend&gt;=A290),1,0)</f>
        <v>0</v>
      </c>
      <c r="AA290" s="67" t="n">
        <f aca="false">U290*Z290</f>
        <v>0</v>
      </c>
      <c r="AC290" s="110" t="n">
        <f aca="false">F290*(H290-I290)</f>
        <v>0</v>
      </c>
      <c r="AD290" s="49"/>
      <c r="AE290" s="124"/>
    </row>
    <row r="291" customFormat="false" ht="12" hidden="false" customHeight="true" outlineLevel="0" collapsed="false">
      <c r="A291" s="115" t="n">
        <f aca="false">EDATE(A290,1)</f>
        <v>45809</v>
      </c>
      <c r="B291" s="116" t="n">
        <f aca="false">'Inputs-Summary'!$B$7</f>
        <v>3017157.21662952</v>
      </c>
      <c r="C291" s="57"/>
      <c r="D291" s="117" t="n">
        <f aca="false">B291+C291</f>
        <v>3017157.21662952</v>
      </c>
      <c r="E291" s="106" t="n">
        <f aca="false">IF(Z291=0,0,IF(AND(Z291=1,$H$3=1),D291*U291,IF($H$3=2,D291,"N/A")))</f>
        <v>0</v>
      </c>
      <c r="F291" s="106" t="n">
        <f aca="false">E291*Y291</f>
        <v>0</v>
      </c>
      <c r="G291" s="118" t="n">
        <f aca="false">VLOOKUP($A291,Table,MATCH(G$4,Curves,0))</f>
        <v>3</v>
      </c>
      <c r="H291" s="119" t="n">
        <f aca="false">G291+$H$7</f>
        <v>3</v>
      </c>
      <c r="I291" s="118" t="n">
        <f aca="false">'Inputs-Summary'!$B$16</f>
        <v>1.85</v>
      </c>
      <c r="J291" s="118" t="n">
        <f aca="false">VLOOKUP($A291,Table,MATCH(J$4,Curves,0))</f>
        <v>5</v>
      </c>
      <c r="K291" s="119" t="n">
        <f aca="false">J291+$K$7</f>
        <v>5</v>
      </c>
      <c r="L291" s="120" t="n">
        <f aca="false">K291</f>
        <v>5</v>
      </c>
      <c r="M291" s="118" t="n">
        <f aca="false">VLOOKUP($A291,Table,MATCH(M$4,Curves,0))</f>
        <v>5</v>
      </c>
      <c r="N291" s="119" t="n">
        <f aca="false">M291+$N$7</f>
        <v>5</v>
      </c>
      <c r="O291" s="120" t="n">
        <f aca="false">N291</f>
        <v>5</v>
      </c>
      <c r="P291" s="109"/>
      <c r="Q291" s="120" t="n">
        <f aca="false">IF($F$3=1,M291+J291+G291,J291+G291)</f>
        <v>8</v>
      </c>
      <c r="R291" s="120" t="n">
        <f aca="false">IF($F$3=1,N291+K291+H291,K291+H291)</f>
        <v>8</v>
      </c>
      <c r="S291" s="120" t="n">
        <f aca="false">IF($F$3=1,O291+L291+I291,L291+I291)</f>
        <v>6.85</v>
      </c>
      <c r="T291" s="121"/>
      <c r="U291" s="67" t="n">
        <f aca="false">A292-A291</f>
        <v>30</v>
      </c>
      <c r="V291" s="122" t="n">
        <f aca="false">CHOOSE(F$3,A292+24,A291)</f>
        <v>45809</v>
      </c>
      <c r="W291" s="67" t="n">
        <f aca="false">V291-C$3</f>
        <v>-117</v>
      </c>
      <c r="X291" s="118" t="n">
        <f aca="false">VLOOKUP($A291,Table,MATCH(X$4,Curves,0))</f>
        <v>2</v>
      </c>
      <c r="Y291" s="123" t="n">
        <f aca="false">1/(1+CHOOSE(F$3,(X292+($K$3/10000))/2,(X291+($K$3/10000))/2))^(2*W291/365.25)</f>
        <v>1.55903907142369</v>
      </c>
      <c r="Z291" s="67" t="n">
        <f aca="false">IF(AND(mthbeg&lt;=A291,mthend&gt;=A291),1,0)</f>
        <v>0</v>
      </c>
      <c r="AA291" s="67" t="n">
        <f aca="false">U291*Z291</f>
        <v>0</v>
      </c>
      <c r="AC291" s="110" t="n">
        <f aca="false">F291*(H291-I291)</f>
        <v>0</v>
      </c>
      <c r="AD291" s="49"/>
      <c r="AE291" s="124"/>
    </row>
    <row r="292" customFormat="false" ht="12" hidden="false" customHeight="true" outlineLevel="0" collapsed="false">
      <c r="A292" s="115" t="n">
        <f aca="false">EDATE(A291,1)</f>
        <v>45839</v>
      </c>
      <c r="B292" s="116" t="n">
        <f aca="false">'Inputs-Summary'!$B$7</f>
        <v>3017157.21662952</v>
      </c>
      <c r="C292" s="57"/>
      <c r="D292" s="117" t="n">
        <f aca="false">B292+C292</f>
        <v>3017157.21662952</v>
      </c>
      <c r="E292" s="106" t="n">
        <f aca="false">IF(Z292=0,0,IF(AND(Z292=1,$H$3=1),D292*U292,IF($H$3=2,D292,"N/A")))</f>
        <v>0</v>
      </c>
      <c r="F292" s="106" t="n">
        <f aca="false">E292*Y292</f>
        <v>0</v>
      </c>
      <c r="G292" s="118" t="n">
        <f aca="false">VLOOKUP($A292,Table,MATCH(G$4,Curves,0))</f>
        <v>3</v>
      </c>
      <c r="H292" s="119" t="n">
        <f aca="false">G292+$H$7</f>
        <v>3</v>
      </c>
      <c r="I292" s="118" t="n">
        <f aca="false">'Inputs-Summary'!$B$16</f>
        <v>1.85</v>
      </c>
      <c r="J292" s="118" t="n">
        <f aca="false">VLOOKUP($A292,Table,MATCH(J$4,Curves,0))</f>
        <v>5</v>
      </c>
      <c r="K292" s="119" t="n">
        <f aca="false">J292+$K$7</f>
        <v>5</v>
      </c>
      <c r="L292" s="120" t="n">
        <f aca="false">K292</f>
        <v>5</v>
      </c>
      <c r="M292" s="118" t="n">
        <f aca="false">VLOOKUP($A292,Table,MATCH(M$4,Curves,0))</f>
        <v>5</v>
      </c>
      <c r="N292" s="119" t="n">
        <f aca="false">M292+$N$7</f>
        <v>5</v>
      </c>
      <c r="O292" s="120" t="n">
        <f aca="false">N292</f>
        <v>5</v>
      </c>
      <c r="P292" s="109"/>
      <c r="Q292" s="120" t="n">
        <f aca="false">IF($F$3=1,M292+J292+G292,J292+G292)</f>
        <v>8</v>
      </c>
      <c r="R292" s="120" t="n">
        <f aca="false">IF($F$3=1,N292+K292+H292,K292+H292)</f>
        <v>8</v>
      </c>
      <c r="S292" s="120" t="n">
        <f aca="false">IF($F$3=1,O292+L292+I292,L292+I292)</f>
        <v>6.85</v>
      </c>
      <c r="T292" s="121"/>
      <c r="U292" s="67" t="n">
        <f aca="false">A293-A292</f>
        <v>31</v>
      </c>
      <c r="V292" s="122" t="n">
        <f aca="false">CHOOSE(F$3,A293+24,A292)</f>
        <v>45839</v>
      </c>
      <c r="W292" s="67" t="n">
        <f aca="false">V292-C$3</f>
        <v>-87</v>
      </c>
      <c r="X292" s="118" t="n">
        <f aca="false">VLOOKUP($A292,Table,MATCH(X$4,Curves,0))</f>
        <v>2</v>
      </c>
      <c r="Y292" s="123" t="n">
        <f aca="false">1/(1+CHOOSE(F$3,(X293+($K$3/10000))/2,(X292+($K$3/10000))/2))^(2*W292/365.25)</f>
        <v>1.39125419430511</v>
      </c>
      <c r="Z292" s="67" t="n">
        <f aca="false">IF(AND(mthbeg&lt;=A292,mthend&gt;=A292),1,0)</f>
        <v>0</v>
      </c>
      <c r="AA292" s="67" t="n">
        <f aca="false">U292*Z292</f>
        <v>0</v>
      </c>
      <c r="AC292" s="110" t="n">
        <f aca="false">F292*(H292-I292)</f>
        <v>0</v>
      </c>
      <c r="AD292" s="49"/>
      <c r="AE292" s="124"/>
    </row>
    <row r="293" customFormat="false" ht="12" hidden="false" customHeight="true" outlineLevel="0" collapsed="false">
      <c r="A293" s="115" t="n">
        <f aca="false">EDATE(A292,1)</f>
        <v>45870</v>
      </c>
      <c r="B293" s="116" t="n">
        <f aca="false">'Inputs-Summary'!$B$7</f>
        <v>3017157.21662952</v>
      </c>
      <c r="C293" s="57"/>
      <c r="D293" s="117" t="n">
        <f aca="false">B293+C293</f>
        <v>3017157.21662952</v>
      </c>
      <c r="E293" s="106" t="n">
        <f aca="false">IF(Z293=0,0,IF(AND(Z293=1,$H$3=1),D293*U293,IF($H$3=2,D293,"N/A")))</f>
        <v>0</v>
      </c>
      <c r="F293" s="106" t="n">
        <f aca="false">E293*Y293</f>
        <v>0</v>
      </c>
      <c r="G293" s="118" t="n">
        <f aca="false">VLOOKUP($A293,Table,MATCH(G$4,Curves,0))</f>
        <v>3</v>
      </c>
      <c r="H293" s="119" t="n">
        <f aca="false">G293+$H$7</f>
        <v>3</v>
      </c>
      <c r="I293" s="118" t="n">
        <f aca="false">'Inputs-Summary'!$B$16</f>
        <v>1.85</v>
      </c>
      <c r="J293" s="118" t="n">
        <f aca="false">VLOOKUP($A293,Table,MATCH(J$4,Curves,0))</f>
        <v>5</v>
      </c>
      <c r="K293" s="119" t="n">
        <f aca="false">J293+$K$7</f>
        <v>5</v>
      </c>
      <c r="L293" s="120" t="n">
        <f aca="false">K293</f>
        <v>5</v>
      </c>
      <c r="M293" s="118" t="n">
        <f aca="false">VLOOKUP($A293,Table,MATCH(M$4,Curves,0))</f>
        <v>5</v>
      </c>
      <c r="N293" s="119" t="n">
        <f aca="false">M293+$N$7</f>
        <v>5</v>
      </c>
      <c r="O293" s="120" t="n">
        <f aca="false">N293</f>
        <v>5</v>
      </c>
      <c r="P293" s="109"/>
      <c r="Q293" s="120" t="n">
        <f aca="false">IF($F$3=1,M293+J293+G293,J293+G293)</f>
        <v>8</v>
      </c>
      <c r="R293" s="120" t="n">
        <f aca="false">IF($F$3=1,N293+K293+H293,K293+H293)</f>
        <v>8</v>
      </c>
      <c r="S293" s="120" t="n">
        <f aca="false">IF($F$3=1,O293+L293+I293,L293+I293)</f>
        <v>6.85</v>
      </c>
      <c r="T293" s="121"/>
      <c r="U293" s="67" t="n">
        <f aca="false">A294-A293</f>
        <v>31</v>
      </c>
      <c r="V293" s="122" t="n">
        <f aca="false">CHOOSE(F$3,A294+24,A293)</f>
        <v>45870</v>
      </c>
      <c r="W293" s="67" t="n">
        <f aca="false">V293-C$3</f>
        <v>-56</v>
      </c>
      <c r="X293" s="118" t="n">
        <f aca="false">VLOOKUP($A293,Table,MATCH(X$4,Curves,0))</f>
        <v>2</v>
      </c>
      <c r="Y293" s="123" t="n">
        <f aca="false">1/(1+CHOOSE(F$3,(X294+($K$3/10000))/2,(X293+($K$3/10000))/2))^(2*W293/365.25)</f>
        <v>1.23682320157782</v>
      </c>
      <c r="Z293" s="67" t="n">
        <f aca="false">IF(AND(mthbeg&lt;=A293,mthend&gt;=A293),1,0)</f>
        <v>0</v>
      </c>
      <c r="AA293" s="67" t="n">
        <f aca="false">U293*Z293</f>
        <v>0</v>
      </c>
      <c r="AC293" s="110" t="n">
        <f aca="false">F293*(H293-I293)</f>
        <v>0</v>
      </c>
      <c r="AD293" s="49"/>
      <c r="AE293" s="124"/>
    </row>
    <row r="294" customFormat="false" ht="12" hidden="false" customHeight="true" outlineLevel="0" collapsed="false">
      <c r="A294" s="115" t="n">
        <f aca="false">EDATE(A293,1)</f>
        <v>45901</v>
      </c>
      <c r="B294" s="116" t="n">
        <f aca="false">'Inputs-Summary'!$B$7</f>
        <v>3017157.21662952</v>
      </c>
      <c r="C294" s="57"/>
      <c r="D294" s="117" t="n">
        <f aca="false">B294+C294</f>
        <v>3017157.21662952</v>
      </c>
      <c r="E294" s="106" t="n">
        <f aca="false">IF(Z294=0,0,IF(AND(Z294=1,$H$3=1),D294*U294,IF($H$3=2,D294,"N/A")))</f>
        <v>0</v>
      </c>
      <c r="F294" s="106" t="n">
        <f aca="false">E294*Y294</f>
        <v>0</v>
      </c>
      <c r="G294" s="118" t="n">
        <f aca="false">VLOOKUP($A294,Table,MATCH(G$4,Curves,0))</f>
        <v>3</v>
      </c>
      <c r="H294" s="119" t="n">
        <f aca="false">G294+$H$7</f>
        <v>3</v>
      </c>
      <c r="I294" s="118" t="n">
        <f aca="false">'Inputs-Summary'!$B$16</f>
        <v>1.85</v>
      </c>
      <c r="J294" s="118" t="n">
        <f aca="false">VLOOKUP($A294,Table,MATCH(J$4,Curves,0))</f>
        <v>5</v>
      </c>
      <c r="K294" s="119" t="n">
        <f aca="false">J294+$K$7</f>
        <v>5</v>
      </c>
      <c r="L294" s="120" t="n">
        <f aca="false">K294</f>
        <v>5</v>
      </c>
      <c r="M294" s="118" t="n">
        <f aca="false">VLOOKUP($A294,Table,MATCH(M$4,Curves,0))</f>
        <v>5</v>
      </c>
      <c r="N294" s="119" t="n">
        <f aca="false">M294+$N$7</f>
        <v>5</v>
      </c>
      <c r="O294" s="120" t="n">
        <f aca="false">N294</f>
        <v>5</v>
      </c>
      <c r="P294" s="109"/>
      <c r="Q294" s="120" t="n">
        <f aca="false">IF($F$3=1,M294+J294+G294,J294+G294)</f>
        <v>8</v>
      </c>
      <c r="R294" s="120" t="n">
        <f aca="false">IF($F$3=1,N294+K294+H294,K294+H294)</f>
        <v>8</v>
      </c>
      <c r="S294" s="120" t="n">
        <f aca="false">IF($F$3=1,O294+L294+I294,L294+I294)</f>
        <v>6.85</v>
      </c>
      <c r="T294" s="121"/>
      <c r="U294" s="67" t="n">
        <f aca="false">A295-A294</f>
        <v>30</v>
      </c>
      <c r="V294" s="122" t="n">
        <f aca="false">CHOOSE(F$3,A295+24,A294)</f>
        <v>45901</v>
      </c>
      <c r="W294" s="67" t="n">
        <f aca="false">V294-C$3</f>
        <v>-25</v>
      </c>
      <c r="X294" s="118" t="n">
        <f aca="false">VLOOKUP($A294,Table,MATCH(X$4,Curves,0))</f>
        <v>2</v>
      </c>
      <c r="Y294" s="123" t="n">
        <f aca="false">1/(1+CHOOSE(F$3,(X295+($K$3/10000))/2,(X294+($K$3/10000))/2))^(2*W294/365.25)</f>
        <v>1.09953424631023</v>
      </c>
      <c r="Z294" s="67" t="n">
        <f aca="false">IF(AND(mthbeg&lt;=A294,mthend&gt;=A294),1,0)</f>
        <v>0</v>
      </c>
      <c r="AA294" s="67" t="n">
        <f aca="false">U294*Z294</f>
        <v>0</v>
      </c>
      <c r="AC294" s="110" t="n">
        <f aca="false">F294*(H294-I294)</f>
        <v>0</v>
      </c>
      <c r="AD294" s="49"/>
      <c r="AE294" s="124"/>
    </row>
    <row r="295" customFormat="false" ht="12" hidden="false" customHeight="true" outlineLevel="0" collapsed="false">
      <c r="A295" s="115" t="n">
        <f aca="false">EDATE(A294,1)</f>
        <v>45931</v>
      </c>
      <c r="B295" s="116" t="n">
        <f aca="false">'Inputs-Summary'!$B$7</f>
        <v>3017157.21662952</v>
      </c>
      <c r="C295" s="57"/>
      <c r="D295" s="117" t="n">
        <f aca="false">B295+C295</f>
        <v>3017157.21662952</v>
      </c>
      <c r="E295" s="106" t="n">
        <f aca="false">IF(Z295=0,0,IF(AND(Z295=1,$H$3=1),D295*U295,IF($H$3=2,D295,"N/A")))</f>
        <v>0</v>
      </c>
      <c r="F295" s="106" t="n">
        <f aca="false">E295*Y295</f>
        <v>0</v>
      </c>
      <c r="G295" s="118" t="n">
        <f aca="false">VLOOKUP($A295,Table,MATCH(G$4,Curves,0))</f>
        <v>3</v>
      </c>
      <c r="H295" s="119" t="n">
        <f aca="false">G295+$H$7</f>
        <v>3</v>
      </c>
      <c r="I295" s="118" t="n">
        <f aca="false">'Inputs-Summary'!$B$16</f>
        <v>1.85</v>
      </c>
      <c r="J295" s="118" t="n">
        <f aca="false">VLOOKUP($A295,Table,MATCH(J$4,Curves,0))</f>
        <v>5</v>
      </c>
      <c r="K295" s="119" t="n">
        <f aca="false">J295+$K$7</f>
        <v>5</v>
      </c>
      <c r="L295" s="120" t="n">
        <f aca="false">K295</f>
        <v>5</v>
      </c>
      <c r="M295" s="118" t="n">
        <f aca="false">VLOOKUP($A295,Table,MATCH(M$4,Curves,0))</f>
        <v>5</v>
      </c>
      <c r="N295" s="119" t="n">
        <f aca="false">M295+$N$7</f>
        <v>5</v>
      </c>
      <c r="O295" s="120" t="n">
        <f aca="false">N295</f>
        <v>5</v>
      </c>
      <c r="P295" s="109"/>
      <c r="Q295" s="120" t="n">
        <f aca="false">IF($F$3=1,M295+J295+G295,J295+G295)</f>
        <v>8</v>
      </c>
      <c r="R295" s="120" t="n">
        <f aca="false">IF($F$3=1,N295+K295+H295,K295+H295)</f>
        <v>8</v>
      </c>
      <c r="S295" s="120" t="n">
        <f aca="false">IF($F$3=1,O295+L295+I295,L295+I295)</f>
        <v>6.85</v>
      </c>
      <c r="T295" s="121"/>
      <c r="U295" s="67" t="n">
        <f aca="false">A296-A295</f>
        <v>31</v>
      </c>
      <c r="V295" s="122" t="n">
        <f aca="false">CHOOSE(F$3,A296+24,A295)</f>
        <v>45931</v>
      </c>
      <c r="W295" s="67" t="n">
        <f aca="false">V295-C$3</f>
        <v>5</v>
      </c>
      <c r="X295" s="118" t="n">
        <f aca="false">VLOOKUP($A295,Table,MATCH(X$4,Curves,0))</f>
        <v>2</v>
      </c>
      <c r="Y295" s="123" t="n">
        <f aca="false">1/(1+CHOOSE(F$3,(X296+($K$3/10000))/2,(X295+($K$3/10000))/2))^(2*W295/365.25)</f>
        <v>0.981201600396257</v>
      </c>
      <c r="Z295" s="67" t="n">
        <f aca="false">IF(AND(mthbeg&lt;=A295,mthend&gt;=A295),1,0)</f>
        <v>0</v>
      </c>
      <c r="AA295" s="67" t="n">
        <f aca="false">U295*Z295</f>
        <v>0</v>
      </c>
      <c r="AC295" s="110" t="n">
        <f aca="false">F295*(H295-I295)</f>
        <v>0</v>
      </c>
      <c r="AD295" s="49"/>
      <c r="AE295" s="124"/>
    </row>
    <row r="296" customFormat="false" ht="12" hidden="false" customHeight="true" outlineLevel="0" collapsed="false">
      <c r="A296" s="115" t="n">
        <f aca="false">EDATE(A295,1)</f>
        <v>45962</v>
      </c>
      <c r="B296" s="116" t="n">
        <f aca="false">'Inputs-Summary'!$B$7</f>
        <v>3017157.21662952</v>
      </c>
      <c r="C296" s="57"/>
      <c r="D296" s="117" t="n">
        <f aca="false">B296+C296</f>
        <v>3017157.21662952</v>
      </c>
      <c r="E296" s="106" t="n">
        <f aca="false">IF(Z296=0,0,IF(AND(Z296=1,$H$3=1),D296*U296,IF($H$3=2,D296,"N/A")))</f>
        <v>0</v>
      </c>
      <c r="F296" s="106" t="n">
        <f aca="false">E296*Y296</f>
        <v>0</v>
      </c>
      <c r="G296" s="118" t="n">
        <f aca="false">VLOOKUP($A296,Table,MATCH(G$4,Curves,0))</f>
        <v>3</v>
      </c>
      <c r="H296" s="119" t="n">
        <f aca="false">G296+$H$7</f>
        <v>3</v>
      </c>
      <c r="I296" s="118" t="n">
        <f aca="false">'Inputs-Summary'!$B$16</f>
        <v>1.85</v>
      </c>
      <c r="J296" s="118" t="n">
        <f aca="false">VLOOKUP($A296,Table,MATCH(J$4,Curves,0))</f>
        <v>5</v>
      </c>
      <c r="K296" s="119" t="n">
        <f aca="false">J296+$K$7</f>
        <v>5</v>
      </c>
      <c r="L296" s="120" t="n">
        <f aca="false">K296</f>
        <v>5</v>
      </c>
      <c r="M296" s="118" t="n">
        <f aca="false">VLOOKUP($A296,Table,MATCH(M$4,Curves,0))</f>
        <v>5</v>
      </c>
      <c r="N296" s="119" t="n">
        <f aca="false">M296+$N$7</f>
        <v>5</v>
      </c>
      <c r="O296" s="120" t="n">
        <f aca="false">N296</f>
        <v>5</v>
      </c>
      <c r="P296" s="109"/>
      <c r="Q296" s="120" t="n">
        <f aca="false">IF($F$3=1,M296+J296+G296,J296+G296)</f>
        <v>8</v>
      </c>
      <c r="R296" s="120" t="n">
        <f aca="false">IF($F$3=1,N296+K296+H296,K296+H296)</f>
        <v>8</v>
      </c>
      <c r="S296" s="120" t="n">
        <f aca="false">IF($F$3=1,O296+L296+I296,L296+I296)</f>
        <v>6.85</v>
      </c>
      <c r="T296" s="121"/>
      <c r="U296" s="67" t="n">
        <f aca="false">A297-A296</f>
        <v>30</v>
      </c>
      <c r="V296" s="122" t="n">
        <f aca="false">CHOOSE(F$3,A297+24,A296)</f>
        <v>45962</v>
      </c>
      <c r="W296" s="67" t="n">
        <f aca="false">V296-C$3</f>
        <v>36</v>
      </c>
      <c r="X296" s="118" t="n">
        <f aca="false">VLOOKUP($A296,Table,MATCH(X$4,Curves,0))</f>
        <v>2</v>
      </c>
      <c r="Y296" s="123" t="n">
        <f aca="false">1/(1+CHOOSE(F$3,(X297+($K$3/10000))/2,(X296+($K$3/10000))/2))^(2*W296/365.25)</f>
        <v>0.872286969385583</v>
      </c>
      <c r="Z296" s="67" t="n">
        <f aca="false">IF(AND(mthbeg&lt;=A296,mthend&gt;=A296),1,0)</f>
        <v>0</v>
      </c>
      <c r="AA296" s="67" t="n">
        <f aca="false">U296*Z296</f>
        <v>0</v>
      </c>
      <c r="AC296" s="110" t="n">
        <f aca="false">F296*(H296-I296)</f>
        <v>0</v>
      </c>
      <c r="AD296" s="49"/>
      <c r="AE296" s="124"/>
    </row>
    <row r="297" customFormat="false" ht="12" hidden="false" customHeight="true" outlineLevel="0" collapsed="false">
      <c r="A297" s="115" t="n">
        <f aca="false">EDATE(A296,1)</f>
        <v>45992</v>
      </c>
      <c r="B297" s="116" t="n">
        <f aca="false">'Inputs-Summary'!$B$7</f>
        <v>3017157.21662952</v>
      </c>
      <c r="C297" s="57"/>
      <c r="D297" s="117" t="n">
        <f aca="false">B297+C297</f>
        <v>3017157.21662952</v>
      </c>
      <c r="E297" s="106" t="n">
        <f aca="false">IF(Z297=0,0,IF(AND(Z297=1,$H$3=1),D297*U297,IF($H$3=2,D297,"N/A")))</f>
        <v>0</v>
      </c>
      <c r="F297" s="106" t="n">
        <f aca="false">E297*Y297</f>
        <v>0</v>
      </c>
      <c r="G297" s="118" t="n">
        <f aca="false">VLOOKUP($A297,Table,MATCH(G$4,Curves,0))</f>
        <v>3</v>
      </c>
      <c r="H297" s="119" t="n">
        <f aca="false">G297+$H$7</f>
        <v>3</v>
      </c>
      <c r="I297" s="118" t="n">
        <f aca="false">'Inputs-Summary'!$B$16</f>
        <v>1.85</v>
      </c>
      <c r="J297" s="118" t="n">
        <f aca="false">VLOOKUP($A297,Table,MATCH(J$4,Curves,0))</f>
        <v>5</v>
      </c>
      <c r="K297" s="119" t="n">
        <f aca="false">J297+$K$7</f>
        <v>5</v>
      </c>
      <c r="L297" s="120" t="n">
        <f aca="false">K297</f>
        <v>5</v>
      </c>
      <c r="M297" s="118" t="n">
        <f aca="false">VLOOKUP($A297,Table,MATCH(M$4,Curves,0))</f>
        <v>5</v>
      </c>
      <c r="N297" s="119" t="n">
        <f aca="false">M297+$N$7</f>
        <v>5</v>
      </c>
      <c r="O297" s="120" t="n">
        <f aca="false">N297</f>
        <v>5</v>
      </c>
      <c r="P297" s="109"/>
      <c r="Q297" s="120" t="n">
        <f aca="false">IF($F$3=1,M297+J297+G297,J297+G297)</f>
        <v>8</v>
      </c>
      <c r="R297" s="120" t="n">
        <f aca="false">IF($F$3=1,N297+K297+H297,K297+H297)</f>
        <v>8</v>
      </c>
      <c r="S297" s="120" t="n">
        <f aca="false">IF($F$3=1,O297+L297+I297,L297+I297)</f>
        <v>6.85</v>
      </c>
      <c r="T297" s="121"/>
      <c r="U297" s="67" t="n">
        <f aca="false">A298-A297</f>
        <v>31</v>
      </c>
      <c r="V297" s="122" t="n">
        <f aca="false">CHOOSE(F$3,A298+24,A297)</f>
        <v>45992</v>
      </c>
      <c r="W297" s="67" t="n">
        <f aca="false">V297-C$3</f>
        <v>66</v>
      </c>
      <c r="X297" s="118" t="n">
        <f aca="false">VLOOKUP($A297,Table,MATCH(X$4,Curves,0))</f>
        <v>2</v>
      </c>
      <c r="Y297" s="123" t="n">
        <f aca="false">1/(1+CHOOSE(F$3,(X298+($K$3/10000))/2,(X297+($K$3/10000))/2))^(2*W297/365.25)</f>
        <v>0.778410834622104</v>
      </c>
      <c r="Z297" s="67" t="n">
        <f aca="false">IF(AND(mthbeg&lt;=A297,mthend&gt;=A297),1,0)</f>
        <v>0</v>
      </c>
      <c r="AA297" s="67" t="n">
        <f aca="false">U297*Z297</f>
        <v>0</v>
      </c>
      <c r="AC297" s="110" t="n">
        <f aca="false">F297*(H297-I297)</f>
        <v>0</v>
      </c>
      <c r="AD297" s="49"/>
      <c r="AE297" s="124"/>
    </row>
    <row r="298" customFormat="false" ht="12" hidden="false" customHeight="true" outlineLevel="0" collapsed="false">
      <c r="A298" s="115" t="n">
        <f aca="false">EDATE(A297,1)</f>
        <v>46023</v>
      </c>
      <c r="B298" s="116" t="n">
        <f aca="false">'Inputs-Summary'!$B$7</f>
        <v>3017157.21662952</v>
      </c>
      <c r="C298" s="57"/>
      <c r="D298" s="117" t="n">
        <f aca="false">B298+C298</f>
        <v>3017157.21662952</v>
      </c>
      <c r="E298" s="106" t="n">
        <f aca="false">IF(Z298=0,0,IF(AND(Z298=1,$H$3=1),D298*U298,IF($H$3=2,D298,"N/A")))</f>
        <v>0</v>
      </c>
      <c r="F298" s="106" t="n">
        <f aca="false">E298*Y298</f>
        <v>0</v>
      </c>
      <c r="G298" s="118" t="n">
        <f aca="false">VLOOKUP($A298,Table,MATCH(G$4,Curves,0))</f>
        <v>3</v>
      </c>
      <c r="H298" s="119" t="n">
        <f aca="false">G298+$H$7</f>
        <v>3</v>
      </c>
      <c r="I298" s="118" t="n">
        <f aca="false">'Inputs-Summary'!$B$16</f>
        <v>1.85</v>
      </c>
      <c r="J298" s="118" t="n">
        <f aca="false">VLOOKUP($A298,Table,MATCH(J$4,Curves,0))</f>
        <v>5</v>
      </c>
      <c r="K298" s="119" t="n">
        <f aca="false">J298+$K$7</f>
        <v>5</v>
      </c>
      <c r="L298" s="120" t="n">
        <f aca="false">K298</f>
        <v>5</v>
      </c>
      <c r="M298" s="118" t="n">
        <f aca="false">VLOOKUP($A298,Table,MATCH(M$4,Curves,0))</f>
        <v>5</v>
      </c>
      <c r="N298" s="119" t="n">
        <f aca="false">M298+$N$7</f>
        <v>5</v>
      </c>
      <c r="O298" s="120" t="n">
        <f aca="false">N298</f>
        <v>5</v>
      </c>
      <c r="P298" s="109"/>
      <c r="Q298" s="120" t="n">
        <f aca="false">IF($F$3=1,M298+J298+G298,J298+G298)</f>
        <v>8</v>
      </c>
      <c r="R298" s="120" t="n">
        <f aca="false">IF($F$3=1,N298+K298+H298,K298+H298)</f>
        <v>8</v>
      </c>
      <c r="S298" s="120" t="n">
        <f aca="false">IF($F$3=1,O298+L298+I298,L298+I298)</f>
        <v>6.85</v>
      </c>
      <c r="T298" s="121"/>
      <c r="U298" s="67" t="n">
        <f aca="false">A299-A298</f>
        <v>31</v>
      </c>
      <c r="V298" s="122" t="n">
        <f aca="false">CHOOSE(F$3,A299+24,A298)</f>
        <v>46023</v>
      </c>
      <c r="W298" s="67" t="n">
        <f aca="false">V298-C$3</f>
        <v>97</v>
      </c>
      <c r="X298" s="118" t="n">
        <f aca="false">VLOOKUP($A298,Table,MATCH(X$4,Curves,0))</f>
        <v>2</v>
      </c>
      <c r="Y298" s="123" t="n">
        <f aca="false">1/(1+CHOOSE(F$3,(X299+($K$3/10000))/2,(X298+($K$3/10000))/2))^(2*W298/365.25)</f>
        <v>0.692006237653103</v>
      </c>
      <c r="Z298" s="67" t="n">
        <f aca="false">IF(AND(mthbeg&lt;=A298,mthend&gt;=A298),1,0)</f>
        <v>0</v>
      </c>
      <c r="AA298" s="67" t="n">
        <f aca="false">U298*Z298</f>
        <v>0</v>
      </c>
      <c r="AC298" s="110" t="n">
        <f aca="false">F298*(H298-I298)</f>
        <v>0</v>
      </c>
      <c r="AD298" s="49"/>
      <c r="AE298" s="124"/>
    </row>
    <row r="299" customFormat="false" ht="12" hidden="false" customHeight="true" outlineLevel="0" collapsed="false">
      <c r="A299" s="115" t="n">
        <f aca="false">EDATE(A298,1)</f>
        <v>46054</v>
      </c>
      <c r="B299" s="116" t="n">
        <f aca="false">'Inputs-Summary'!$B$7</f>
        <v>3017157.21662952</v>
      </c>
      <c r="C299" s="57"/>
      <c r="D299" s="117" t="n">
        <f aca="false">B299+C299</f>
        <v>3017157.21662952</v>
      </c>
      <c r="E299" s="106" t="n">
        <f aca="false">IF(Z299=0,0,IF(AND(Z299=1,$H$3=1),D299*U299,IF($H$3=2,D299,"N/A")))</f>
        <v>0</v>
      </c>
      <c r="F299" s="106" t="n">
        <f aca="false">E299*Y299</f>
        <v>0</v>
      </c>
      <c r="G299" s="118" t="n">
        <f aca="false">VLOOKUP($A299,Table,MATCH(G$4,Curves,0))</f>
        <v>3</v>
      </c>
      <c r="H299" s="119" t="n">
        <f aca="false">G299+$H$7</f>
        <v>3</v>
      </c>
      <c r="I299" s="118" t="n">
        <f aca="false">'Inputs-Summary'!$B$16</f>
        <v>1.85</v>
      </c>
      <c r="J299" s="118" t="n">
        <f aca="false">VLOOKUP($A299,Table,MATCH(J$4,Curves,0))</f>
        <v>5</v>
      </c>
      <c r="K299" s="119" t="n">
        <f aca="false">J299+$K$7</f>
        <v>5</v>
      </c>
      <c r="L299" s="120" t="n">
        <f aca="false">K299</f>
        <v>5</v>
      </c>
      <c r="M299" s="118" t="n">
        <f aca="false">VLOOKUP($A299,Table,MATCH(M$4,Curves,0))</f>
        <v>5</v>
      </c>
      <c r="N299" s="119" t="n">
        <f aca="false">M299+$N$7</f>
        <v>5</v>
      </c>
      <c r="O299" s="120" t="n">
        <f aca="false">N299</f>
        <v>5</v>
      </c>
      <c r="P299" s="109"/>
      <c r="Q299" s="120" t="n">
        <f aca="false">IF($F$3=1,M299+J299+G299,J299+G299)</f>
        <v>8</v>
      </c>
      <c r="R299" s="120" t="n">
        <f aca="false">IF($F$3=1,N299+K299+H299,K299+H299)</f>
        <v>8</v>
      </c>
      <c r="S299" s="120" t="n">
        <f aca="false">IF($F$3=1,O299+L299+I299,L299+I299)</f>
        <v>6.85</v>
      </c>
      <c r="T299" s="121"/>
      <c r="U299" s="67" t="n">
        <f aca="false">A300-A299</f>
        <v>28</v>
      </c>
      <c r="V299" s="122" t="n">
        <f aca="false">CHOOSE(F$3,A300+24,A299)</f>
        <v>46054</v>
      </c>
      <c r="W299" s="67" t="n">
        <f aca="false">V299-C$3</f>
        <v>128</v>
      </c>
      <c r="X299" s="118" t="n">
        <f aca="false">VLOOKUP($A299,Table,MATCH(X$4,Curves,0))</f>
        <v>2</v>
      </c>
      <c r="Y299" s="123" t="n">
        <f aca="false">1/(1+CHOOSE(F$3,(X300+($K$3/10000))/2,(X299+($K$3/10000))/2))^(2*W299/365.25)</f>
        <v>0.615192661319112</v>
      </c>
      <c r="Z299" s="67" t="n">
        <f aca="false">IF(AND(mthbeg&lt;=A299,mthend&gt;=A299),1,0)</f>
        <v>0</v>
      </c>
      <c r="AA299" s="67" t="n">
        <f aca="false">U299*Z299</f>
        <v>0</v>
      </c>
      <c r="AC299" s="110" t="n">
        <f aca="false">F299*(H299-I299)</f>
        <v>0</v>
      </c>
      <c r="AD299" s="49"/>
      <c r="AE299" s="124"/>
    </row>
    <row r="300" customFormat="false" ht="12" hidden="false" customHeight="true" outlineLevel="0" collapsed="false">
      <c r="A300" s="115" t="n">
        <f aca="false">EDATE(A299,1)</f>
        <v>46082</v>
      </c>
      <c r="B300" s="116" t="n">
        <f aca="false">'Inputs-Summary'!$B$7</f>
        <v>3017157.21662952</v>
      </c>
      <c r="C300" s="57"/>
      <c r="D300" s="117" t="n">
        <f aca="false">B300+C300</f>
        <v>3017157.21662952</v>
      </c>
      <c r="E300" s="106" t="n">
        <f aca="false">IF(Z300=0,0,IF(AND(Z300=1,$H$3=1),D300*U300,IF($H$3=2,D300,"N/A")))</f>
        <v>0</v>
      </c>
      <c r="F300" s="106" t="n">
        <f aca="false">E300*Y300</f>
        <v>0</v>
      </c>
      <c r="G300" s="118" t="n">
        <f aca="false">VLOOKUP($A300,Table,MATCH(G$4,Curves,0))</f>
        <v>3</v>
      </c>
      <c r="H300" s="119" t="n">
        <f aca="false">G300+$H$7</f>
        <v>3</v>
      </c>
      <c r="I300" s="118" t="n">
        <f aca="false">'Inputs-Summary'!$B$16</f>
        <v>1.85</v>
      </c>
      <c r="J300" s="118" t="n">
        <f aca="false">VLOOKUP($A300,Table,MATCH(J$4,Curves,0))</f>
        <v>5</v>
      </c>
      <c r="K300" s="119" t="n">
        <f aca="false">J300+$K$7</f>
        <v>5</v>
      </c>
      <c r="L300" s="120" t="n">
        <f aca="false">K300</f>
        <v>5</v>
      </c>
      <c r="M300" s="118" t="n">
        <f aca="false">VLOOKUP($A300,Table,MATCH(M$4,Curves,0))</f>
        <v>5</v>
      </c>
      <c r="N300" s="119" t="n">
        <f aca="false">M300+$N$7</f>
        <v>5</v>
      </c>
      <c r="O300" s="120" t="n">
        <f aca="false">N300</f>
        <v>5</v>
      </c>
      <c r="P300" s="109"/>
      <c r="Q300" s="120" t="n">
        <f aca="false">IF($F$3=1,M300+J300+G300,J300+G300)</f>
        <v>8</v>
      </c>
      <c r="R300" s="120" t="n">
        <f aca="false">IF($F$3=1,N300+K300+H300,K300+H300)</f>
        <v>8</v>
      </c>
      <c r="S300" s="120" t="n">
        <f aca="false">IF($F$3=1,O300+L300+I300,L300+I300)</f>
        <v>6.85</v>
      </c>
      <c r="T300" s="121"/>
      <c r="U300" s="67" t="n">
        <f aca="false">A301-A300</f>
        <v>31</v>
      </c>
      <c r="V300" s="122" t="n">
        <f aca="false">CHOOSE(F$3,A301+24,A300)</f>
        <v>46082</v>
      </c>
      <c r="W300" s="67" t="n">
        <f aca="false">V300-C$3</f>
        <v>156</v>
      </c>
      <c r="X300" s="118" t="n">
        <f aca="false">VLOOKUP($A300,Table,MATCH(X$4,Curves,0))</f>
        <v>2</v>
      </c>
      <c r="Y300" s="123" t="n">
        <f aca="false">1/(1+CHOOSE(F$3,(X301+($K$3/10000))/2,(X300+($K$3/10000))/2))^(2*W300/365.25)</f>
        <v>0.553168363604907</v>
      </c>
      <c r="Z300" s="67" t="n">
        <f aca="false">IF(AND(mthbeg&lt;=A300,mthend&gt;=A300),1,0)</f>
        <v>0</v>
      </c>
      <c r="AA300" s="67" t="n">
        <f aca="false">U300*Z300</f>
        <v>0</v>
      </c>
      <c r="AC300" s="110" t="n">
        <f aca="false">F300*(H300-I300)</f>
        <v>0</v>
      </c>
      <c r="AD300" s="49"/>
      <c r="AE300" s="124"/>
    </row>
    <row r="301" customFormat="false" ht="12" hidden="false" customHeight="true" outlineLevel="0" collapsed="false">
      <c r="A301" s="115" t="n">
        <f aca="false">EDATE(A300,1)</f>
        <v>46113</v>
      </c>
      <c r="B301" s="116" t="n">
        <f aca="false">'Inputs-Summary'!$B$7</f>
        <v>3017157.21662952</v>
      </c>
      <c r="C301" s="57"/>
      <c r="D301" s="117" t="n">
        <f aca="false">B301+C301</f>
        <v>3017157.21662952</v>
      </c>
      <c r="E301" s="106" t="n">
        <f aca="false">IF(Z301=0,0,IF(AND(Z301=1,$H$3=1),D301*U301,IF($H$3=2,D301,"N/A")))</f>
        <v>0</v>
      </c>
      <c r="F301" s="106" t="n">
        <f aca="false">E301*Y301</f>
        <v>0</v>
      </c>
      <c r="G301" s="118" t="n">
        <f aca="false">VLOOKUP($A301,Table,MATCH(G$4,Curves,0))</f>
        <v>3</v>
      </c>
      <c r="H301" s="119" t="n">
        <f aca="false">G301+$H$7</f>
        <v>3</v>
      </c>
      <c r="I301" s="118" t="n">
        <f aca="false">'Inputs-Summary'!$B$16</f>
        <v>1.85</v>
      </c>
      <c r="J301" s="118" t="n">
        <f aca="false">VLOOKUP($A301,Table,MATCH(J$4,Curves,0))</f>
        <v>5</v>
      </c>
      <c r="K301" s="119" t="n">
        <f aca="false">J301+$K$7</f>
        <v>5</v>
      </c>
      <c r="L301" s="120" t="n">
        <f aca="false">K301</f>
        <v>5</v>
      </c>
      <c r="M301" s="118" t="n">
        <f aca="false">VLOOKUP($A301,Table,MATCH(M$4,Curves,0))</f>
        <v>5</v>
      </c>
      <c r="N301" s="119" t="n">
        <f aca="false">M301+$N$7</f>
        <v>5</v>
      </c>
      <c r="O301" s="120" t="n">
        <f aca="false">N301</f>
        <v>5</v>
      </c>
      <c r="P301" s="109"/>
      <c r="Q301" s="120" t="n">
        <f aca="false">IF($F$3=1,M301+J301+G301,J301+G301)</f>
        <v>8</v>
      </c>
      <c r="R301" s="120" t="n">
        <f aca="false">IF($F$3=1,N301+K301+H301,K301+H301)</f>
        <v>8</v>
      </c>
      <c r="S301" s="120" t="n">
        <f aca="false">IF($F$3=1,O301+L301+I301,L301+I301)</f>
        <v>6.85</v>
      </c>
      <c r="T301" s="121"/>
      <c r="U301" s="67" t="n">
        <f aca="false">A302-A301</f>
        <v>30</v>
      </c>
      <c r="V301" s="122" t="n">
        <f aca="false">CHOOSE(F$3,A302+24,A301)</f>
        <v>46113</v>
      </c>
      <c r="W301" s="67" t="n">
        <f aca="false">V301-C$3</f>
        <v>187</v>
      </c>
      <c r="X301" s="118" t="n">
        <f aca="false">VLOOKUP($A301,Table,MATCH(X$4,Curves,0))</f>
        <v>2</v>
      </c>
      <c r="Y301" s="123" t="n">
        <f aca="false">1/(1+CHOOSE(F$3,(X302+($K$3/10000))/2,(X301+($K$3/10000))/2))^(2*W301/365.25)</f>
        <v>0.491765968638903</v>
      </c>
      <c r="Z301" s="67" t="n">
        <f aca="false">IF(AND(mthbeg&lt;=A301,mthend&gt;=A301),1,0)</f>
        <v>0</v>
      </c>
      <c r="AA301" s="67" t="n">
        <f aca="false">U301*Z301</f>
        <v>0</v>
      </c>
      <c r="AC301" s="110" t="n">
        <f aca="false">F301*(H301-I301)</f>
        <v>0</v>
      </c>
      <c r="AD301" s="49"/>
      <c r="AE301" s="124"/>
    </row>
    <row r="302" customFormat="false" ht="12" hidden="false" customHeight="true" outlineLevel="0" collapsed="false">
      <c r="A302" s="115" t="n">
        <f aca="false">EDATE(A301,1)</f>
        <v>46143</v>
      </c>
      <c r="B302" s="116" t="n">
        <f aca="false">'Inputs-Summary'!$B$7</f>
        <v>3017157.21662952</v>
      </c>
      <c r="C302" s="57"/>
      <c r="D302" s="117" t="n">
        <f aca="false">B302+C302</f>
        <v>3017157.21662952</v>
      </c>
      <c r="E302" s="106" t="n">
        <f aca="false">IF(Z302=0,0,IF(AND(Z302=1,$H$3=1),D302*U302,IF($H$3=2,D302,"N/A")))</f>
        <v>0</v>
      </c>
      <c r="F302" s="106" t="n">
        <f aca="false">E302*Y302</f>
        <v>0</v>
      </c>
      <c r="G302" s="118" t="n">
        <f aca="false">VLOOKUP($A302,Table,MATCH(G$4,Curves,0))</f>
        <v>3</v>
      </c>
      <c r="H302" s="119" t="n">
        <f aca="false">G302+$H$7</f>
        <v>3</v>
      </c>
      <c r="I302" s="118" t="n">
        <f aca="false">'Inputs-Summary'!$B$16</f>
        <v>1.85</v>
      </c>
      <c r="J302" s="118" t="n">
        <f aca="false">VLOOKUP($A302,Table,MATCH(J$4,Curves,0))</f>
        <v>5</v>
      </c>
      <c r="K302" s="119" t="n">
        <f aca="false">J302+$K$7</f>
        <v>5</v>
      </c>
      <c r="L302" s="120" t="n">
        <f aca="false">K302</f>
        <v>5</v>
      </c>
      <c r="M302" s="118" t="n">
        <f aca="false">VLOOKUP($A302,Table,MATCH(M$4,Curves,0))</f>
        <v>5</v>
      </c>
      <c r="N302" s="119" t="n">
        <f aca="false">M302+$N$7</f>
        <v>5</v>
      </c>
      <c r="O302" s="120" t="n">
        <f aca="false">N302</f>
        <v>5</v>
      </c>
      <c r="P302" s="109"/>
      <c r="Q302" s="120" t="n">
        <f aca="false">IF($F$3=1,M302+J302+G302,J302+G302)</f>
        <v>8</v>
      </c>
      <c r="R302" s="120" t="n">
        <f aca="false">IF($F$3=1,N302+K302+H302,K302+H302)</f>
        <v>8</v>
      </c>
      <c r="S302" s="120" t="n">
        <f aca="false">IF($F$3=1,O302+L302+I302,L302+I302)</f>
        <v>6.85</v>
      </c>
      <c r="T302" s="121"/>
      <c r="U302" s="67" t="n">
        <f aca="false">A303-A302</f>
        <v>31</v>
      </c>
      <c r="V302" s="122" t="n">
        <f aca="false">CHOOSE(F$3,A303+24,A302)</f>
        <v>46143</v>
      </c>
      <c r="W302" s="67" t="n">
        <f aca="false">V302-C$3</f>
        <v>217</v>
      </c>
      <c r="X302" s="118" t="n">
        <f aca="false">VLOOKUP($A302,Table,MATCH(X$4,Curves,0))</f>
        <v>2</v>
      </c>
      <c r="Y302" s="123" t="n">
        <f aca="false">1/(1+CHOOSE(F$3,(X303+($K$3/10000))/2,(X302+($K$3/10000))/2))^(2*W302/365.25)</f>
        <v>0.438841770566156</v>
      </c>
      <c r="Z302" s="67" t="n">
        <f aca="false">IF(AND(mthbeg&lt;=A302,mthend&gt;=A302),1,0)</f>
        <v>0</v>
      </c>
      <c r="AA302" s="67" t="n">
        <f aca="false">U302*Z302</f>
        <v>0</v>
      </c>
      <c r="AC302" s="110" t="n">
        <f aca="false">F302*(H302-I302)</f>
        <v>0</v>
      </c>
      <c r="AD302" s="49"/>
      <c r="AE302" s="124"/>
    </row>
    <row r="303" customFormat="false" ht="12" hidden="false" customHeight="true" outlineLevel="0" collapsed="false">
      <c r="A303" s="115" t="n">
        <f aca="false">EDATE(A302,1)</f>
        <v>46174</v>
      </c>
      <c r="B303" s="116" t="n">
        <f aca="false">'Inputs-Summary'!$B$7</f>
        <v>3017157.21662952</v>
      </c>
      <c r="C303" s="57"/>
      <c r="D303" s="117" t="n">
        <f aca="false">B303+C303</f>
        <v>3017157.21662952</v>
      </c>
      <c r="E303" s="106" t="n">
        <f aca="false">IF(Z303=0,0,IF(AND(Z303=1,$H$3=1),D303*U303,IF($H$3=2,D303,"N/A")))</f>
        <v>0</v>
      </c>
      <c r="F303" s="106" t="n">
        <f aca="false">E303*Y303</f>
        <v>0</v>
      </c>
      <c r="G303" s="118" t="n">
        <f aca="false">VLOOKUP($A303,Table,MATCH(G$4,Curves,0))</f>
        <v>3</v>
      </c>
      <c r="H303" s="119" t="n">
        <f aca="false">G303+$H$7</f>
        <v>3</v>
      </c>
      <c r="I303" s="118" t="n">
        <f aca="false">'Inputs-Summary'!$B$16</f>
        <v>1.85</v>
      </c>
      <c r="J303" s="118" t="n">
        <f aca="false">VLOOKUP($A303,Table,MATCH(J$4,Curves,0))</f>
        <v>5</v>
      </c>
      <c r="K303" s="119" t="n">
        <f aca="false">J303+$K$7</f>
        <v>5</v>
      </c>
      <c r="L303" s="120" t="n">
        <f aca="false">K303</f>
        <v>5</v>
      </c>
      <c r="M303" s="118" t="n">
        <f aca="false">VLOOKUP($A303,Table,MATCH(M$4,Curves,0))</f>
        <v>5</v>
      </c>
      <c r="N303" s="119" t="n">
        <f aca="false">M303+$N$7</f>
        <v>5</v>
      </c>
      <c r="O303" s="120" t="n">
        <f aca="false">N303</f>
        <v>5</v>
      </c>
      <c r="P303" s="109"/>
      <c r="Q303" s="120" t="n">
        <f aca="false">IF($F$3=1,M303+J303+G303,J303+G303)</f>
        <v>8</v>
      </c>
      <c r="R303" s="120" t="n">
        <f aca="false">IF($F$3=1,N303+K303+H303,K303+H303)</f>
        <v>8</v>
      </c>
      <c r="S303" s="120" t="n">
        <f aca="false">IF($F$3=1,O303+L303+I303,L303+I303)</f>
        <v>6.85</v>
      </c>
      <c r="T303" s="121"/>
      <c r="U303" s="67" t="n">
        <f aca="false">A304-A303</f>
        <v>30</v>
      </c>
      <c r="V303" s="122" t="n">
        <f aca="false">CHOOSE(F$3,A304+24,A303)</f>
        <v>46174</v>
      </c>
      <c r="W303" s="67" t="n">
        <f aca="false">V303-C$3</f>
        <v>248</v>
      </c>
      <c r="X303" s="118" t="n">
        <f aca="false">VLOOKUP($A303,Table,MATCH(X$4,Curves,0))</f>
        <v>2</v>
      </c>
      <c r="Y303" s="123" t="n">
        <f aca="false">1/(1+CHOOSE(F$3,(X304+($K$3/10000))/2,(X303+($K$3/10000))/2))^(2*W303/365.25)</f>
        <v>0.390129773465885</v>
      </c>
      <c r="Z303" s="67" t="n">
        <f aca="false">IF(AND(mthbeg&lt;=A303,mthend&gt;=A303),1,0)</f>
        <v>0</v>
      </c>
      <c r="AA303" s="67" t="n">
        <f aca="false">U303*Z303</f>
        <v>0</v>
      </c>
      <c r="AC303" s="110" t="n">
        <f aca="false">F303*(H303-I303)</f>
        <v>0</v>
      </c>
      <c r="AD303" s="49"/>
      <c r="AE303" s="124"/>
    </row>
    <row r="304" customFormat="false" ht="12" hidden="false" customHeight="true" outlineLevel="0" collapsed="false">
      <c r="A304" s="115" t="n">
        <f aca="false">EDATE(A303,1)</f>
        <v>46204</v>
      </c>
      <c r="B304" s="116" t="n">
        <f aca="false">'Inputs-Summary'!$B$7</f>
        <v>3017157.21662952</v>
      </c>
      <c r="C304" s="57"/>
      <c r="D304" s="117" t="n">
        <f aca="false">B304+C304</f>
        <v>3017157.21662952</v>
      </c>
      <c r="E304" s="106" t="n">
        <f aca="false">IF(Z304=0,0,IF(AND(Z304=1,$H$3=1),D304*U304,IF($H$3=2,D304,"N/A")))</f>
        <v>0</v>
      </c>
      <c r="F304" s="106" t="n">
        <f aca="false">E304*Y304</f>
        <v>0</v>
      </c>
      <c r="G304" s="118" t="n">
        <f aca="false">VLOOKUP($A304,Table,MATCH(G$4,Curves,0))</f>
        <v>3</v>
      </c>
      <c r="H304" s="119" t="n">
        <f aca="false">G304+$H$7</f>
        <v>3</v>
      </c>
      <c r="I304" s="118" t="n">
        <f aca="false">'Inputs-Summary'!$B$16</f>
        <v>1.85</v>
      </c>
      <c r="J304" s="118" t="n">
        <f aca="false">VLOOKUP($A304,Table,MATCH(J$4,Curves,0))</f>
        <v>5</v>
      </c>
      <c r="K304" s="119" t="n">
        <f aca="false">J304+$K$7</f>
        <v>5</v>
      </c>
      <c r="L304" s="120" t="n">
        <f aca="false">K304</f>
        <v>5</v>
      </c>
      <c r="M304" s="118" t="n">
        <f aca="false">VLOOKUP($A304,Table,MATCH(M$4,Curves,0))</f>
        <v>5</v>
      </c>
      <c r="N304" s="119" t="n">
        <f aca="false">M304+$N$7</f>
        <v>5</v>
      </c>
      <c r="O304" s="120" t="n">
        <f aca="false">N304</f>
        <v>5</v>
      </c>
      <c r="P304" s="109"/>
      <c r="Q304" s="120" t="n">
        <f aca="false">IF($F$3=1,M304+J304+G304,J304+G304)</f>
        <v>8</v>
      </c>
      <c r="R304" s="120" t="n">
        <f aca="false">IF($F$3=1,N304+K304+H304,K304+H304)</f>
        <v>8</v>
      </c>
      <c r="S304" s="120" t="n">
        <f aca="false">IF($F$3=1,O304+L304+I304,L304+I304)</f>
        <v>6.85</v>
      </c>
      <c r="T304" s="121"/>
      <c r="U304" s="67" t="n">
        <f aca="false">A305-A304</f>
        <v>31</v>
      </c>
      <c r="V304" s="122" t="n">
        <f aca="false">CHOOSE(F$3,A305+24,A304)</f>
        <v>46204</v>
      </c>
      <c r="W304" s="67" t="n">
        <f aca="false">V304-C$3</f>
        <v>278</v>
      </c>
      <c r="X304" s="118" t="n">
        <f aca="false">VLOOKUP($A304,Table,MATCH(X$4,Curves,0))</f>
        <v>2</v>
      </c>
      <c r="Y304" s="123" t="n">
        <f aca="false">1/(1+CHOOSE(F$3,(X305+($K$3/10000))/2,(X304+($K$3/10000))/2))^(2*W304/365.25)</f>
        <v>0.348143733923272</v>
      </c>
      <c r="Z304" s="67" t="n">
        <f aca="false">IF(AND(mthbeg&lt;=A304,mthend&gt;=A304),1,0)</f>
        <v>0</v>
      </c>
      <c r="AA304" s="67" t="n">
        <f aca="false">U304*Z304</f>
        <v>0</v>
      </c>
      <c r="AC304" s="110" t="n">
        <f aca="false">F304*(H304-I304)</f>
        <v>0</v>
      </c>
      <c r="AD304" s="49"/>
      <c r="AE304" s="124"/>
    </row>
    <row r="305" customFormat="false" ht="12" hidden="false" customHeight="true" outlineLevel="0" collapsed="false">
      <c r="A305" s="115" t="n">
        <f aca="false">EDATE(A304,1)</f>
        <v>46235</v>
      </c>
      <c r="B305" s="116" t="n">
        <f aca="false">'Inputs-Summary'!$B$7</f>
        <v>3017157.21662952</v>
      </c>
      <c r="C305" s="57"/>
      <c r="D305" s="117" t="n">
        <f aca="false">B305+C305</f>
        <v>3017157.21662952</v>
      </c>
      <c r="E305" s="106" t="n">
        <f aca="false">IF(Z305=0,0,IF(AND(Z305=1,$H$3=1),D305*U305,IF($H$3=2,D305,"N/A")))</f>
        <v>0</v>
      </c>
      <c r="F305" s="106" t="n">
        <f aca="false">E305*Y305</f>
        <v>0</v>
      </c>
      <c r="G305" s="118" t="n">
        <f aca="false">VLOOKUP($A305,Table,MATCH(G$4,Curves,0))</f>
        <v>3</v>
      </c>
      <c r="H305" s="119" t="n">
        <f aca="false">G305+$H$7</f>
        <v>3</v>
      </c>
      <c r="I305" s="118" t="n">
        <f aca="false">'Inputs-Summary'!$B$16</f>
        <v>1.85</v>
      </c>
      <c r="J305" s="118" t="n">
        <f aca="false">VLOOKUP($A305,Table,MATCH(J$4,Curves,0))</f>
        <v>5</v>
      </c>
      <c r="K305" s="119" t="n">
        <f aca="false">J305+$K$7</f>
        <v>5</v>
      </c>
      <c r="L305" s="120" t="n">
        <f aca="false">K305</f>
        <v>5</v>
      </c>
      <c r="M305" s="118" t="n">
        <f aca="false">VLOOKUP($A305,Table,MATCH(M$4,Curves,0))</f>
        <v>5</v>
      </c>
      <c r="N305" s="119" t="n">
        <f aca="false">M305+$N$7</f>
        <v>5</v>
      </c>
      <c r="O305" s="120" t="n">
        <f aca="false">N305</f>
        <v>5</v>
      </c>
      <c r="P305" s="109"/>
      <c r="Q305" s="120" t="n">
        <f aca="false">IF($F$3=1,M305+J305+G305,J305+G305)</f>
        <v>8</v>
      </c>
      <c r="R305" s="120" t="n">
        <f aca="false">IF($F$3=1,N305+K305+H305,K305+H305)</f>
        <v>8</v>
      </c>
      <c r="S305" s="120" t="n">
        <f aca="false">IF($F$3=1,O305+L305+I305,L305+I305)</f>
        <v>6.85</v>
      </c>
      <c r="T305" s="121"/>
      <c r="U305" s="67" t="n">
        <f aca="false">A306-A305</f>
        <v>31</v>
      </c>
      <c r="V305" s="122" t="n">
        <f aca="false">CHOOSE(F$3,A306+24,A305)</f>
        <v>46235</v>
      </c>
      <c r="W305" s="67" t="n">
        <f aca="false">V305-C$3</f>
        <v>309</v>
      </c>
      <c r="X305" s="118" t="n">
        <f aca="false">VLOOKUP($A305,Table,MATCH(X$4,Curves,0))</f>
        <v>2</v>
      </c>
      <c r="Y305" s="123" t="n">
        <f aca="false">1/(1+CHOOSE(F$3,(X306+($K$3/10000))/2,(X305+($K$3/10000))/2))^(2*W305/365.25)</f>
        <v>0.309499334746163</v>
      </c>
      <c r="Z305" s="67" t="n">
        <f aca="false">IF(AND(mthbeg&lt;=A305,mthend&gt;=A305),1,0)</f>
        <v>0</v>
      </c>
      <c r="AA305" s="67" t="n">
        <f aca="false">U305*Z305</f>
        <v>0</v>
      </c>
      <c r="AC305" s="110" t="n">
        <f aca="false">F305*(H305-I305)</f>
        <v>0</v>
      </c>
      <c r="AD305" s="49"/>
      <c r="AE305" s="124"/>
    </row>
    <row r="306" customFormat="false" ht="12" hidden="false" customHeight="true" outlineLevel="0" collapsed="false">
      <c r="A306" s="115" t="n">
        <f aca="false">EDATE(A305,1)</f>
        <v>46266</v>
      </c>
      <c r="B306" s="116" t="n">
        <f aca="false">'Inputs-Summary'!$B$7</f>
        <v>3017157.21662952</v>
      </c>
      <c r="C306" s="57"/>
      <c r="D306" s="117" t="n">
        <f aca="false">B306+C306</f>
        <v>3017157.21662952</v>
      </c>
      <c r="E306" s="106" t="n">
        <f aca="false">IF(Z306=0,0,IF(AND(Z306=1,$H$3=1),D306*U306,IF($H$3=2,D306,"N/A")))</f>
        <v>0</v>
      </c>
      <c r="F306" s="106" t="n">
        <f aca="false">E306*Y306</f>
        <v>0</v>
      </c>
      <c r="G306" s="118" t="n">
        <f aca="false">VLOOKUP($A306,Table,MATCH(G$4,Curves,0))</f>
        <v>3</v>
      </c>
      <c r="H306" s="119" t="n">
        <f aca="false">G306+$H$7</f>
        <v>3</v>
      </c>
      <c r="I306" s="118" t="n">
        <f aca="false">'Inputs-Summary'!$B$16</f>
        <v>1.85</v>
      </c>
      <c r="J306" s="118" t="n">
        <f aca="false">VLOOKUP($A306,Table,MATCH(J$4,Curves,0))</f>
        <v>5</v>
      </c>
      <c r="K306" s="119" t="n">
        <f aca="false">J306+$K$7</f>
        <v>5</v>
      </c>
      <c r="L306" s="120" t="n">
        <f aca="false">K306</f>
        <v>5</v>
      </c>
      <c r="M306" s="118" t="n">
        <f aca="false">VLOOKUP($A306,Table,MATCH(M$4,Curves,0))</f>
        <v>5</v>
      </c>
      <c r="N306" s="119" t="n">
        <f aca="false">M306+$N$7</f>
        <v>5</v>
      </c>
      <c r="O306" s="120" t="n">
        <f aca="false">N306</f>
        <v>5</v>
      </c>
      <c r="P306" s="109"/>
      <c r="Q306" s="120" t="n">
        <f aca="false">IF($F$3=1,M306+J306+G306,J306+G306)</f>
        <v>8</v>
      </c>
      <c r="R306" s="120" t="n">
        <f aca="false">IF($F$3=1,N306+K306+H306,K306+H306)</f>
        <v>8</v>
      </c>
      <c r="S306" s="120" t="n">
        <f aca="false">IF($F$3=1,O306+L306+I306,L306+I306)</f>
        <v>6.85</v>
      </c>
      <c r="T306" s="121"/>
      <c r="U306" s="67" t="n">
        <f aca="false">A307-A306</f>
        <v>30</v>
      </c>
      <c r="V306" s="122" t="n">
        <f aca="false">CHOOSE(F$3,A307+24,A306)</f>
        <v>46266</v>
      </c>
      <c r="W306" s="67" t="n">
        <f aca="false">V306-C$3</f>
        <v>340</v>
      </c>
      <c r="X306" s="118" t="n">
        <f aca="false">VLOOKUP($A306,Table,MATCH(X$4,Curves,0))</f>
        <v>2</v>
      </c>
      <c r="Y306" s="123" t="n">
        <f aca="false">1/(1+CHOOSE(F$3,(X307+($K$3/10000))/2,(X306+($K$3/10000))/2))^(2*W306/365.25)</f>
        <v>0.275144513241271</v>
      </c>
      <c r="Z306" s="67" t="n">
        <f aca="false">IF(AND(mthbeg&lt;=A306,mthend&gt;=A306),1,0)</f>
        <v>0</v>
      </c>
      <c r="AA306" s="67" t="n">
        <f aca="false">U306*Z306</f>
        <v>0</v>
      </c>
      <c r="AC306" s="110" t="n">
        <f aca="false">F306*(H306-I306)</f>
        <v>0</v>
      </c>
      <c r="AD306" s="49"/>
      <c r="AE306" s="124"/>
    </row>
    <row r="307" customFormat="false" ht="12" hidden="false" customHeight="true" outlineLevel="0" collapsed="false">
      <c r="A307" s="115" t="n">
        <f aca="false">EDATE(A306,1)</f>
        <v>46296</v>
      </c>
      <c r="B307" s="116" t="n">
        <f aca="false">'Inputs-Summary'!$B$7</f>
        <v>3017157.21662952</v>
      </c>
      <c r="C307" s="57"/>
      <c r="D307" s="117" t="n">
        <f aca="false">B307+C307</f>
        <v>3017157.21662952</v>
      </c>
      <c r="E307" s="106" t="n">
        <f aca="false">IF(Z307=0,0,IF(AND(Z307=1,$H$3=1),D307*U307,IF($H$3=2,D307,"N/A")))</f>
        <v>0</v>
      </c>
      <c r="F307" s="106" t="n">
        <f aca="false">E307*Y307</f>
        <v>0</v>
      </c>
      <c r="G307" s="118" t="n">
        <f aca="false">VLOOKUP($A307,Table,MATCH(G$4,Curves,0))</f>
        <v>3</v>
      </c>
      <c r="H307" s="119" t="n">
        <f aca="false">G307+$H$7</f>
        <v>3</v>
      </c>
      <c r="I307" s="118" t="n">
        <f aca="false">'Inputs-Summary'!$B$16</f>
        <v>1.85</v>
      </c>
      <c r="J307" s="118" t="n">
        <f aca="false">VLOOKUP($A307,Table,MATCH(J$4,Curves,0))</f>
        <v>5</v>
      </c>
      <c r="K307" s="119" t="n">
        <f aca="false">J307+$K$7</f>
        <v>5</v>
      </c>
      <c r="L307" s="120" t="n">
        <f aca="false">K307</f>
        <v>5</v>
      </c>
      <c r="M307" s="118" t="n">
        <f aca="false">VLOOKUP($A307,Table,MATCH(M$4,Curves,0))</f>
        <v>5</v>
      </c>
      <c r="N307" s="119" t="n">
        <f aca="false">M307+$N$7</f>
        <v>5</v>
      </c>
      <c r="O307" s="120" t="n">
        <f aca="false">N307</f>
        <v>5</v>
      </c>
      <c r="P307" s="109"/>
      <c r="Q307" s="120" t="n">
        <f aca="false">IF($F$3=1,M307+J307+G307,J307+G307)</f>
        <v>8</v>
      </c>
      <c r="R307" s="120" t="n">
        <f aca="false">IF($F$3=1,N307+K307+H307,K307+H307)</f>
        <v>8</v>
      </c>
      <c r="S307" s="120" t="n">
        <f aca="false">IF($F$3=1,O307+L307+I307,L307+I307)</f>
        <v>6.85</v>
      </c>
      <c r="T307" s="121"/>
      <c r="U307" s="67" t="n">
        <f aca="false">A308-A307</f>
        <v>31</v>
      </c>
      <c r="V307" s="122" t="n">
        <f aca="false">CHOOSE(F$3,A308+24,A307)</f>
        <v>46296</v>
      </c>
      <c r="W307" s="67" t="n">
        <f aca="false">V307-C$3</f>
        <v>370</v>
      </c>
      <c r="X307" s="118" t="n">
        <f aca="false">VLOOKUP($A307,Table,MATCH(X$4,Curves,0))</f>
        <v>2</v>
      </c>
      <c r="Y307" s="123" t="n">
        <f aca="false">1/(1+CHOOSE(F$3,(X308+($K$3/10000))/2,(X307+($K$3/10000))/2))^(2*W307/365.25)</f>
        <v>0.245533267961907</v>
      </c>
      <c r="Z307" s="67" t="n">
        <f aca="false">IF(AND(mthbeg&lt;=A307,mthend&gt;=A307),1,0)</f>
        <v>0</v>
      </c>
      <c r="AA307" s="67" t="n">
        <f aca="false">U307*Z307</f>
        <v>0</v>
      </c>
      <c r="AC307" s="110" t="n">
        <f aca="false">F307*(H307-I307)</f>
        <v>0</v>
      </c>
      <c r="AD307" s="49"/>
      <c r="AE307" s="124"/>
    </row>
    <row r="308" customFormat="false" ht="12" hidden="false" customHeight="true" outlineLevel="0" collapsed="false">
      <c r="A308" s="115" t="n">
        <f aca="false">EDATE(A307,1)</f>
        <v>46327</v>
      </c>
      <c r="B308" s="116" t="n">
        <f aca="false">'Inputs-Summary'!$B$7</f>
        <v>3017157.21662952</v>
      </c>
      <c r="C308" s="57"/>
      <c r="D308" s="117" t="n">
        <f aca="false">B308+C308</f>
        <v>3017157.21662952</v>
      </c>
      <c r="E308" s="106" t="n">
        <f aca="false">IF(Z308=0,0,IF(AND(Z308=1,$H$3=1),D308*U308,IF($H$3=2,D308,"N/A")))</f>
        <v>0</v>
      </c>
      <c r="F308" s="106" t="n">
        <f aca="false">E308*Y308</f>
        <v>0</v>
      </c>
      <c r="G308" s="118" t="n">
        <f aca="false">VLOOKUP($A308,Table,MATCH(G$4,Curves,0))</f>
        <v>3</v>
      </c>
      <c r="H308" s="119" t="n">
        <f aca="false">G308+$H$7</f>
        <v>3</v>
      </c>
      <c r="I308" s="118" t="n">
        <f aca="false">'Inputs-Summary'!$B$16</f>
        <v>1.85</v>
      </c>
      <c r="J308" s="118" t="n">
        <f aca="false">VLOOKUP($A308,Table,MATCH(J$4,Curves,0))</f>
        <v>5</v>
      </c>
      <c r="K308" s="119" t="n">
        <f aca="false">J308+$K$7</f>
        <v>5</v>
      </c>
      <c r="L308" s="120" t="n">
        <f aca="false">K308</f>
        <v>5</v>
      </c>
      <c r="M308" s="118" t="n">
        <f aca="false">VLOOKUP($A308,Table,MATCH(M$4,Curves,0))</f>
        <v>5</v>
      </c>
      <c r="N308" s="119" t="n">
        <f aca="false">M308+$N$7</f>
        <v>5</v>
      </c>
      <c r="O308" s="120" t="n">
        <f aca="false">N308</f>
        <v>5</v>
      </c>
      <c r="P308" s="109"/>
      <c r="Q308" s="120" t="n">
        <f aca="false">IF($F$3=1,M308+J308+G308,J308+G308)</f>
        <v>8</v>
      </c>
      <c r="R308" s="120" t="n">
        <f aca="false">IF($F$3=1,N308+K308+H308,K308+H308)</f>
        <v>8</v>
      </c>
      <c r="S308" s="120" t="n">
        <f aca="false">IF($F$3=1,O308+L308+I308,L308+I308)</f>
        <v>6.85</v>
      </c>
      <c r="T308" s="121"/>
      <c r="U308" s="67" t="n">
        <f aca="false">A309-A308</f>
        <v>30</v>
      </c>
      <c r="V308" s="122" t="n">
        <f aca="false">CHOOSE(F$3,A309+24,A308)</f>
        <v>46327</v>
      </c>
      <c r="W308" s="67" t="n">
        <f aca="false">V308-C$3</f>
        <v>401</v>
      </c>
      <c r="X308" s="118" t="n">
        <f aca="false">VLOOKUP($A308,Table,MATCH(X$4,Curves,0))</f>
        <v>2</v>
      </c>
      <c r="Y308" s="123" t="n">
        <f aca="false">1/(1+CHOOSE(F$3,(X309+($K$3/10000))/2,(X308+($K$3/10000))/2))^(2*W308/365.25)</f>
        <v>0.218278761579003</v>
      </c>
      <c r="Z308" s="67" t="n">
        <f aca="false">IF(AND(mthbeg&lt;=A308,mthend&gt;=A308),1,0)</f>
        <v>0</v>
      </c>
      <c r="AA308" s="67" t="n">
        <f aca="false">U308*Z308</f>
        <v>0</v>
      </c>
      <c r="AC308" s="110" t="n">
        <f aca="false">F308*(H308-I308)</f>
        <v>0</v>
      </c>
      <c r="AD308" s="49"/>
      <c r="AE308" s="124"/>
    </row>
    <row r="309" customFormat="false" ht="12" hidden="false" customHeight="true" outlineLevel="0" collapsed="false">
      <c r="A309" s="115" t="n">
        <f aca="false">EDATE(A308,1)</f>
        <v>46357</v>
      </c>
      <c r="B309" s="116" t="n">
        <f aca="false">'Inputs-Summary'!$B$7</f>
        <v>3017157.21662952</v>
      </c>
      <c r="C309" s="57"/>
      <c r="D309" s="117" t="n">
        <f aca="false">B309+C309</f>
        <v>3017157.21662952</v>
      </c>
      <c r="E309" s="106" t="n">
        <f aca="false">IF(Z309=0,0,IF(AND(Z309=1,$H$3=1),D309*U309,IF($H$3=2,D309,"N/A")))</f>
        <v>0</v>
      </c>
      <c r="F309" s="106" t="n">
        <f aca="false">E309*Y309</f>
        <v>0</v>
      </c>
      <c r="G309" s="118" t="n">
        <f aca="false">VLOOKUP($A309,Table,MATCH(G$4,Curves,0))</f>
        <v>3</v>
      </c>
      <c r="H309" s="119" t="n">
        <f aca="false">G309+$H$7</f>
        <v>3</v>
      </c>
      <c r="I309" s="118" t="n">
        <f aca="false">'Inputs-Summary'!$B$16</f>
        <v>1.85</v>
      </c>
      <c r="J309" s="118" t="n">
        <f aca="false">VLOOKUP($A309,Table,MATCH(J$4,Curves,0))</f>
        <v>5</v>
      </c>
      <c r="K309" s="119" t="n">
        <f aca="false">J309+$K$7</f>
        <v>5</v>
      </c>
      <c r="L309" s="120" t="n">
        <f aca="false">K309</f>
        <v>5</v>
      </c>
      <c r="M309" s="118" t="n">
        <f aca="false">VLOOKUP($A309,Table,MATCH(M$4,Curves,0))</f>
        <v>5</v>
      </c>
      <c r="N309" s="119" t="n">
        <f aca="false">M309+$N$7</f>
        <v>5</v>
      </c>
      <c r="O309" s="120" t="n">
        <f aca="false">N309</f>
        <v>5</v>
      </c>
      <c r="P309" s="109"/>
      <c r="Q309" s="120" t="n">
        <f aca="false">IF($F$3=1,M309+J309+G309,J309+G309)</f>
        <v>8</v>
      </c>
      <c r="R309" s="120" t="n">
        <f aca="false">IF($F$3=1,N309+K309+H309,K309+H309)</f>
        <v>8</v>
      </c>
      <c r="S309" s="120" t="n">
        <f aca="false">IF($F$3=1,O309+L309+I309,L309+I309)</f>
        <v>6.85</v>
      </c>
      <c r="T309" s="121"/>
      <c r="U309" s="67" t="n">
        <f aca="false">A310-A309</f>
        <v>31</v>
      </c>
      <c r="V309" s="122" t="n">
        <f aca="false">CHOOSE(F$3,A310+24,A309)</f>
        <v>46357</v>
      </c>
      <c r="W309" s="67" t="n">
        <f aca="false">V309-C$3</f>
        <v>431</v>
      </c>
      <c r="X309" s="118" t="n">
        <f aca="false">VLOOKUP($A309,Table,MATCH(X$4,Curves,0))</f>
        <v>2</v>
      </c>
      <c r="Y309" s="123" t="n">
        <f aca="false">1/(1+CHOOSE(F$3,(X310+($K$3/10000))/2,(X309+($K$3/10000))/2))^(2*W309/365.25)</f>
        <v>0.194787448333284</v>
      </c>
      <c r="Z309" s="67" t="n">
        <f aca="false">IF(AND(mthbeg&lt;=A309,mthend&gt;=A309),1,0)</f>
        <v>0</v>
      </c>
      <c r="AA309" s="67" t="n">
        <f aca="false">U309*Z309</f>
        <v>0</v>
      </c>
      <c r="AC309" s="110" t="n">
        <f aca="false">F309*(H309-I309)</f>
        <v>0</v>
      </c>
      <c r="AD309" s="49"/>
      <c r="AE309" s="124"/>
    </row>
    <row r="310" customFormat="false" ht="12" hidden="false" customHeight="true" outlineLevel="0" collapsed="false">
      <c r="A310" s="115" t="n">
        <f aca="false">EDATE(A309,1)</f>
        <v>46388</v>
      </c>
      <c r="B310" s="116" t="n">
        <f aca="false">'Inputs-Summary'!$B$7</f>
        <v>3017157.21662952</v>
      </c>
      <c r="C310" s="57"/>
      <c r="D310" s="117" t="n">
        <f aca="false">B310+C310</f>
        <v>3017157.21662952</v>
      </c>
      <c r="E310" s="106" t="n">
        <f aca="false">IF(Z310=0,0,IF(AND(Z310=1,$H$3=1),D310*U310,IF($H$3=2,D310,"N/A")))</f>
        <v>0</v>
      </c>
      <c r="F310" s="106" t="n">
        <f aca="false">E310*Y310</f>
        <v>0</v>
      </c>
      <c r="G310" s="118" t="n">
        <f aca="false">VLOOKUP($A310,Table,MATCH(G$4,Curves,0))</f>
        <v>3</v>
      </c>
      <c r="H310" s="119" t="n">
        <f aca="false">G310+$H$7</f>
        <v>3</v>
      </c>
      <c r="I310" s="118" t="n">
        <f aca="false">'Inputs-Summary'!$B$16</f>
        <v>1.85</v>
      </c>
      <c r="J310" s="118" t="n">
        <f aca="false">VLOOKUP($A310,Table,MATCH(J$4,Curves,0))</f>
        <v>5</v>
      </c>
      <c r="K310" s="119" t="n">
        <f aca="false">J310+$K$7</f>
        <v>5</v>
      </c>
      <c r="L310" s="120" t="n">
        <f aca="false">K310</f>
        <v>5</v>
      </c>
      <c r="M310" s="118" t="n">
        <f aca="false">VLOOKUP($A310,Table,MATCH(M$4,Curves,0))</f>
        <v>5</v>
      </c>
      <c r="N310" s="119" t="n">
        <f aca="false">M310+$N$7</f>
        <v>5</v>
      </c>
      <c r="O310" s="120" t="n">
        <f aca="false">N310</f>
        <v>5</v>
      </c>
      <c r="P310" s="109"/>
      <c r="Q310" s="120" t="n">
        <f aca="false">IF($F$3=1,M310+J310+G310,J310+G310)</f>
        <v>8</v>
      </c>
      <c r="R310" s="120" t="n">
        <f aca="false">IF($F$3=1,N310+K310+H310,K310+H310)</f>
        <v>8</v>
      </c>
      <c r="S310" s="120" t="n">
        <f aca="false">IF($F$3=1,O310+L310+I310,L310+I310)</f>
        <v>6.85</v>
      </c>
      <c r="T310" s="121"/>
      <c r="U310" s="67" t="n">
        <f aca="false">A311-A310</f>
        <v>31</v>
      </c>
      <c r="V310" s="122" t="n">
        <f aca="false">CHOOSE(F$3,A311+24,A310)</f>
        <v>46388</v>
      </c>
      <c r="W310" s="67" t="n">
        <f aca="false">V310-C$3</f>
        <v>462</v>
      </c>
      <c r="X310" s="118" t="n">
        <f aca="false">VLOOKUP($A310,Table,MATCH(X$4,Curves,0))</f>
        <v>2</v>
      </c>
      <c r="Y310" s="123" t="n">
        <f aca="false">1/(1+CHOOSE(F$3,(X311+($K$3/10000))/2,(X310+($K$3/10000))/2))^(2*W310/365.25)</f>
        <v>0.17316579275082</v>
      </c>
      <c r="Z310" s="67" t="n">
        <f aca="false">IF(AND(mthbeg&lt;=A310,mthend&gt;=A310),1,0)</f>
        <v>0</v>
      </c>
      <c r="AA310" s="67" t="n">
        <f aca="false">U310*Z310</f>
        <v>0</v>
      </c>
      <c r="AC310" s="110" t="n">
        <f aca="false">F310*(H310-I310)</f>
        <v>0</v>
      </c>
      <c r="AD310" s="49"/>
      <c r="AE310" s="124"/>
    </row>
    <row r="311" customFormat="false" ht="12" hidden="false" customHeight="true" outlineLevel="0" collapsed="false">
      <c r="A311" s="115" t="n">
        <f aca="false">EDATE(A310,1)</f>
        <v>46419</v>
      </c>
      <c r="B311" s="116" t="n">
        <f aca="false">'Inputs-Summary'!$B$7</f>
        <v>3017157.21662952</v>
      </c>
      <c r="C311" s="57"/>
      <c r="D311" s="117" t="n">
        <f aca="false">B311+C311</f>
        <v>3017157.21662952</v>
      </c>
      <c r="E311" s="106" t="n">
        <f aca="false">IF(Z311=0,0,IF(AND(Z311=1,$H$3=1),D311*U311,IF($H$3=2,D311,"N/A")))</f>
        <v>0</v>
      </c>
      <c r="F311" s="106" t="n">
        <f aca="false">E311*Y311</f>
        <v>0</v>
      </c>
      <c r="G311" s="118" t="n">
        <f aca="false">VLOOKUP($A311,Table,MATCH(G$4,Curves,0))</f>
        <v>3</v>
      </c>
      <c r="H311" s="119" t="n">
        <f aca="false">G311+$H$7</f>
        <v>3</v>
      </c>
      <c r="I311" s="118" t="n">
        <f aca="false">'Inputs-Summary'!$B$16</f>
        <v>1.85</v>
      </c>
      <c r="J311" s="118" t="n">
        <f aca="false">VLOOKUP($A311,Table,MATCH(J$4,Curves,0))</f>
        <v>5</v>
      </c>
      <c r="K311" s="119" t="n">
        <f aca="false">J311+$K$7</f>
        <v>5</v>
      </c>
      <c r="L311" s="120" t="n">
        <f aca="false">K311</f>
        <v>5</v>
      </c>
      <c r="M311" s="118" t="n">
        <f aca="false">VLOOKUP($A311,Table,MATCH(M$4,Curves,0))</f>
        <v>5</v>
      </c>
      <c r="N311" s="119" t="n">
        <f aca="false">M311+$N$7</f>
        <v>5</v>
      </c>
      <c r="O311" s="120" t="n">
        <f aca="false">N311</f>
        <v>5</v>
      </c>
      <c r="P311" s="109"/>
      <c r="Q311" s="120" t="n">
        <f aca="false">IF($F$3=1,M311+J311+G311,J311+G311)</f>
        <v>8</v>
      </c>
      <c r="R311" s="120" t="n">
        <f aca="false">IF($F$3=1,N311+K311+H311,K311+H311)</f>
        <v>8</v>
      </c>
      <c r="S311" s="120" t="n">
        <f aca="false">IF($F$3=1,O311+L311+I311,L311+I311)</f>
        <v>6.85</v>
      </c>
      <c r="T311" s="121"/>
      <c r="U311" s="67" t="n">
        <f aca="false">A312-A311</f>
        <v>28</v>
      </c>
      <c r="V311" s="122" t="n">
        <f aca="false">CHOOSE(F$3,A312+24,A311)</f>
        <v>46419</v>
      </c>
      <c r="W311" s="67" t="n">
        <f aca="false">V311-C$3</f>
        <v>493</v>
      </c>
      <c r="X311" s="118" t="n">
        <f aca="false">VLOOKUP($A311,Table,MATCH(X$4,Curves,0))</f>
        <v>2</v>
      </c>
      <c r="Y311" s="123" t="n">
        <f aca="false">1/(1+CHOOSE(F$3,(X312+($K$3/10000))/2,(X311+($K$3/10000))/2))^(2*W311/365.25)</f>
        <v>0.153944168557066</v>
      </c>
      <c r="Z311" s="67" t="n">
        <f aca="false">IF(AND(mthbeg&lt;=A311,mthend&gt;=A311),1,0)</f>
        <v>0</v>
      </c>
      <c r="AA311" s="67" t="n">
        <f aca="false">U311*Z311</f>
        <v>0</v>
      </c>
      <c r="AC311" s="110" t="n">
        <f aca="false">F311*(H311-I311)</f>
        <v>0</v>
      </c>
      <c r="AD311" s="49"/>
      <c r="AE311" s="124"/>
    </row>
    <row r="312" customFormat="false" ht="12" hidden="false" customHeight="true" outlineLevel="0" collapsed="false">
      <c r="A312" s="115" t="n">
        <f aca="false">EDATE(A311,1)</f>
        <v>46447</v>
      </c>
      <c r="B312" s="116" t="n">
        <f aca="false">'Inputs-Summary'!$B$7</f>
        <v>3017157.21662952</v>
      </c>
      <c r="C312" s="57"/>
      <c r="D312" s="117" t="n">
        <f aca="false">B312+C312</f>
        <v>3017157.21662952</v>
      </c>
      <c r="E312" s="106" t="n">
        <f aca="false">IF(Z312=0,0,IF(AND(Z312=1,$H$3=1),D312*U312,IF($H$3=2,D312,"N/A")))</f>
        <v>0</v>
      </c>
      <c r="F312" s="106" t="n">
        <f aca="false">E312*Y312</f>
        <v>0</v>
      </c>
      <c r="G312" s="118" t="n">
        <f aca="false">VLOOKUP($A312,Table,MATCH(G$4,Curves,0))</f>
        <v>3</v>
      </c>
      <c r="H312" s="119" t="n">
        <f aca="false">G312+$H$7</f>
        <v>3</v>
      </c>
      <c r="I312" s="118" t="n">
        <f aca="false">'Inputs-Summary'!$B$16</f>
        <v>1.85</v>
      </c>
      <c r="J312" s="118" t="n">
        <f aca="false">VLOOKUP($A312,Table,MATCH(J$4,Curves,0))</f>
        <v>5</v>
      </c>
      <c r="K312" s="119" t="n">
        <f aca="false">J312+$K$7</f>
        <v>5</v>
      </c>
      <c r="L312" s="120" t="n">
        <f aca="false">K312</f>
        <v>5</v>
      </c>
      <c r="M312" s="118" t="n">
        <f aca="false">VLOOKUP($A312,Table,MATCH(M$4,Curves,0))</f>
        <v>5</v>
      </c>
      <c r="N312" s="119" t="n">
        <f aca="false">M312+$N$7</f>
        <v>5</v>
      </c>
      <c r="O312" s="120" t="n">
        <f aca="false">N312</f>
        <v>5</v>
      </c>
      <c r="P312" s="109"/>
      <c r="Q312" s="120" t="n">
        <f aca="false">IF($F$3=1,M312+J312+G312,J312+G312)</f>
        <v>8</v>
      </c>
      <c r="R312" s="120" t="n">
        <f aca="false">IF($F$3=1,N312+K312+H312,K312+H312)</f>
        <v>8</v>
      </c>
      <c r="S312" s="120" t="n">
        <f aca="false">IF($F$3=1,O312+L312+I312,L312+I312)</f>
        <v>6.85</v>
      </c>
      <c r="T312" s="121"/>
      <c r="U312" s="67" t="n">
        <f aca="false">A313-A312</f>
        <v>31</v>
      </c>
      <c r="V312" s="122" t="n">
        <f aca="false">CHOOSE(F$3,A313+24,A312)</f>
        <v>46447</v>
      </c>
      <c r="W312" s="67" t="n">
        <f aca="false">V312-C$3</f>
        <v>521</v>
      </c>
      <c r="X312" s="118" t="n">
        <f aca="false">VLOOKUP($A312,Table,MATCH(X$4,Curves,0))</f>
        <v>2</v>
      </c>
      <c r="Y312" s="123" t="n">
        <f aca="false">1/(1+CHOOSE(F$3,(X313+($K$3/10000))/2,(X312+($K$3/10000))/2))^(2*W312/365.25)</f>
        <v>0.138423373947008</v>
      </c>
      <c r="Z312" s="67" t="n">
        <f aca="false">IF(AND(mthbeg&lt;=A312,mthend&gt;=A312),1,0)</f>
        <v>0</v>
      </c>
      <c r="AA312" s="67" t="n">
        <f aca="false">U312*Z312</f>
        <v>0</v>
      </c>
      <c r="AC312" s="110" t="n">
        <f aca="false">F312*(H312-I312)</f>
        <v>0</v>
      </c>
      <c r="AD312" s="49"/>
      <c r="AE312" s="124"/>
    </row>
    <row r="313" customFormat="false" ht="12" hidden="false" customHeight="true" outlineLevel="0" collapsed="false">
      <c r="A313" s="115" t="n">
        <f aca="false">EDATE(A312,1)</f>
        <v>46478</v>
      </c>
      <c r="B313" s="116" t="n">
        <f aca="false">'Inputs-Summary'!$B$7</f>
        <v>3017157.21662952</v>
      </c>
      <c r="C313" s="57"/>
      <c r="D313" s="117" t="n">
        <f aca="false">B313+C313</f>
        <v>3017157.21662952</v>
      </c>
      <c r="E313" s="106" t="n">
        <f aca="false">IF(Z313=0,0,IF(AND(Z313=1,$H$3=1),D313*U313,IF($H$3=2,D313,"N/A")))</f>
        <v>0</v>
      </c>
      <c r="F313" s="106" t="n">
        <f aca="false">E313*Y313</f>
        <v>0</v>
      </c>
      <c r="G313" s="118" t="n">
        <f aca="false">VLOOKUP($A313,Table,MATCH(G$4,Curves,0))</f>
        <v>3</v>
      </c>
      <c r="H313" s="119" t="n">
        <f aca="false">G313+$H$7</f>
        <v>3</v>
      </c>
      <c r="I313" s="118" t="n">
        <f aca="false">'Inputs-Summary'!$B$16</f>
        <v>1.85</v>
      </c>
      <c r="J313" s="118" t="n">
        <f aca="false">VLOOKUP($A313,Table,MATCH(J$4,Curves,0))</f>
        <v>5</v>
      </c>
      <c r="K313" s="119" t="n">
        <f aca="false">J313+$K$7</f>
        <v>5</v>
      </c>
      <c r="L313" s="120" t="n">
        <f aca="false">K313</f>
        <v>5</v>
      </c>
      <c r="M313" s="118" t="n">
        <f aca="false">VLOOKUP($A313,Table,MATCH(M$4,Curves,0))</f>
        <v>5</v>
      </c>
      <c r="N313" s="119" t="n">
        <f aca="false">M313+$N$7</f>
        <v>5</v>
      </c>
      <c r="O313" s="120" t="n">
        <f aca="false">N313</f>
        <v>5</v>
      </c>
      <c r="P313" s="109"/>
      <c r="Q313" s="120" t="n">
        <f aca="false">IF($F$3=1,M313+J313+G313,J313+G313)</f>
        <v>8</v>
      </c>
      <c r="R313" s="120" t="n">
        <f aca="false">IF($F$3=1,N313+K313+H313,K313+H313)</f>
        <v>8</v>
      </c>
      <c r="S313" s="120" t="n">
        <f aca="false">IF($F$3=1,O313+L313+I313,L313+I313)</f>
        <v>6.85</v>
      </c>
      <c r="T313" s="121"/>
      <c r="U313" s="67" t="n">
        <f aca="false">A314-A313</f>
        <v>30</v>
      </c>
      <c r="V313" s="122" t="n">
        <f aca="false">CHOOSE(F$3,A314+24,A313)</f>
        <v>46478</v>
      </c>
      <c r="W313" s="67" t="n">
        <f aca="false">V313-C$3</f>
        <v>552</v>
      </c>
      <c r="X313" s="118" t="n">
        <f aca="false">VLOOKUP($A313,Table,MATCH(X$4,Curves,0))</f>
        <v>2</v>
      </c>
      <c r="Y313" s="123" t="n">
        <f aca="false">1/(1+CHOOSE(F$3,(X314+($K$3/10000))/2,(X313+($K$3/10000))/2))^(2*W313/365.25)</f>
        <v>0.123058202619727</v>
      </c>
      <c r="Z313" s="67" t="n">
        <f aca="false">IF(AND(mthbeg&lt;=A313,mthend&gt;=A313),1,0)</f>
        <v>0</v>
      </c>
      <c r="AA313" s="67" t="n">
        <f aca="false">U313*Z313</f>
        <v>0</v>
      </c>
      <c r="AC313" s="110" t="n">
        <f aca="false">F313*(H313-I313)</f>
        <v>0</v>
      </c>
      <c r="AD313" s="49"/>
      <c r="AE313" s="124"/>
    </row>
    <row r="314" customFormat="false" ht="12" hidden="false" customHeight="true" outlineLevel="0" collapsed="false">
      <c r="A314" s="115" t="n">
        <f aca="false">EDATE(A313,1)</f>
        <v>46508</v>
      </c>
      <c r="B314" s="116" t="n">
        <f aca="false">'Inputs-Summary'!$B$7</f>
        <v>3017157.21662952</v>
      </c>
      <c r="C314" s="57"/>
      <c r="D314" s="117" t="n">
        <f aca="false">B314+C314</f>
        <v>3017157.21662952</v>
      </c>
      <c r="E314" s="106" t="n">
        <f aca="false">IF(Z314=0,0,IF(AND(Z314=1,$H$3=1),D314*U314,IF($H$3=2,D314,"N/A")))</f>
        <v>0</v>
      </c>
      <c r="F314" s="106" t="n">
        <f aca="false">E314*Y314</f>
        <v>0</v>
      </c>
      <c r="G314" s="118" t="n">
        <f aca="false">VLOOKUP($A314,Table,MATCH(G$4,Curves,0))</f>
        <v>3</v>
      </c>
      <c r="H314" s="119" t="n">
        <f aca="false">G314+$H$7</f>
        <v>3</v>
      </c>
      <c r="I314" s="118" t="n">
        <f aca="false">'Inputs-Summary'!$B$16</f>
        <v>1.85</v>
      </c>
      <c r="J314" s="118" t="n">
        <f aca="false">VLOOKUP($A314,Table,MATCH(J$4,Curves,0))</f>
        <v>5</v>
      </c>
      <c r="K314" s="119" t="n">
        <f aca="false">J314+$K$7</f>
        <v>5</v>
      </c>
      <c r="L314" s="120" t="n">
        <f aca="false">K314</f>
        <v>5</v>
      </c>
      <c r="M314" s="118" t="n">
        <f aca="false">VLOOKUP($A314,Table,MATCH(M$4,Curves,0))</f>
        <v>5</v>
      </c>
      <c r="N314" s="119" t="n">
        <f aca="false">M314+$N$7</f>
        <v>5</v>
      </c>
      <c r="O314" s="120" t="n">
        <f aca="false">N314</f>
        <v>5</v>
      </c>
      <c r="P314" s="109"/>
      <c r="Q314" s="120" t="n">
        <f aca="false">IF($F$3=1,M314+J314+G314,J314+G314)</f>
        <v>8</v>
      </c>
      <c r="R314" s="120" t="n">
        <f aca="false">IF($F$3=1,N314+K314+H314,K314+H314)</f>
        <v>8</v>
      </c>
      <c r="S314" s="120" t="n">
        <f aca="false">IF($F$3=1,O314+L314+I314,L314+I314)</f>
        <v>6.85</v>
      </c>
      <c r="T314" s="121"/>
      <c r="U314" s="67" t="n">
        <f aca="false">A315-A314</f>
        <v>31</v>
      </c>
      <c r="V314" s="122" t="n">
        <f aca="false">CHOOSE(F$3,A315+24,A314)</f>
        <v>46508</v>
      </c>
      <c r="W314" s="67" t="n">
        <f aca="false">V314-C$3</f>
        <v>582</v>
      </c>
      <c r="X314" s="118" t="n">
        <f aca="false">VLOOKUP($A314,Table,MATCH(X$4,Curves,0))</f>
        <v>2</v>
      </c>
      <c r="Y314" s="123" t="n">
        <f aca="false">1/(1+CHOOSE(F$3,(X315+($K$3/10000))/2,(X314+($K$3/10000))/2))^(2*W314/365.25)</f>
        <v>0.109814592640068</v>
      </c>
      <c r="Z314" s="67" t="n">
        <f aca="false">IF(AND(mthbeg&lt;=A314,mthend&gt;=A314),1,0)</f>
        <v>0</v>
      </c>
      <c r="AA314" s="67" t="n">
        <f aca="false">U314*Z314</f>
        <v>0</v>
      </c>
      <c r="AC314" s="110" t="n">
        <f aca="false">F314*(H314-I314)</f>
        <v>0</v>
      </c>
      <c r="AD314" s="49"/>
      <c r="AE314" s="124"/>
    </row>
    <row r="315" customFormat="false" ht="12" hidden="false" customHeight="true" outlineLevel="0" collapsed="false">
      <c r="A315" s="115" t="n">
        <f aca="false">EDATE(A314,1)</f>
        <v>46539</v>
      </c>
      <c r="B315" s="116" t="n">
        <f aca="false">'Inputs-Summary'!$B$7</f>
        <v>3017157.21662952</v>
      </c>
      <c r="C315" s="57"/>
      <c r="D315" s="117" t="n">
        <f aca="false">B315+C315</f>
        <v>3017157.21662952</v>
      </c>
      <c r="E315" s="106" t="n">
        <f aca="false">IF(Z315=0,0,IF(AND(Z315=1,$H$3=1),D315*U315,IF($H$3=2,D315,"N/A")))</f>
        <v>0</v>
      </c>
      <c r="F315" s="106" t="n">
        <f aca="false">E315*Y315</f>
        <v>0</v>
      </c>
      <c r="G315" s="118" t="n">
        <f aca="false">VLOOKUP($A315,Table,MATCH(G$4,Curves,0))</f>
        <v>3</v>
      </c>
      <c r="H315" s="119" t="n">
        <f aca="false">G315+$H$7</f>
        <v>3</v>
      </c>
      <c r="I315" s="118" t="n">
        <f aca="false">'Inputs-Summary'!$B$16</f>
        <v>1.85</v>
      </c>
      <c r="J315" s="118" t="n">
        <f aca="false">VLOOKUP($A315,Table,MATCH(J$4,Curves,0))</f>
        <v>5</v>
      </c>
      <c r="K315" s="119" t="n">
        <f aca="false">J315+$K$7</f>
        <v>5</v>
      </c>
      <c r="L315" s="120" t="n">
        <f aca="false">K315</f>
        <v>5</v>
      </c>
      <c r="M315" s="118" t="n">
        <f aca="false">VLOOKUP($A315,Table,MATCH(M$4,Curves,0))</f>
        <v>5</v>
      </c>
      <c r="N315" s="119" t="n">
        <f aca="false">M315+$N$7</f>
        <v>5</v>
      </c>
      <c r="O315" s="120" t="n">
        <f aca="false">N315</f>
        <v>5</v>
      </c>
      <c r="P315" s="109"/>
      <c r="Q315" s="120" t="n">
        <f aca="false">IF($F$3=1,M315+J315+G315,J315+G315)</f>
        <v>8</v>
      </c>
      <c r="R315" s="120" t="n">
        <f aca="false">IF($F$3=1,N315+K315+H315,K315+H315)</f>
        <v>8</v>
      </c>
      <c r="S315" s="120" t="n">
        <f aca="false">IF($F$3=1,O315+L315+I315,L315+I315)</f>
        <v>6.85</v>
      </c>
      <c r="T315" s="121"/>
      <c r="U315" s="67" t="n">
        <f aca="false">A316-A315</f>
        <v>30</v>
      </c>
      <c r="V315" s="122" t="n">
        <f aca="false">CHOOSE(F$3,A316+24,A315)</f>
        <v>46539</v>
      </c>
      <c r="W315" s="67" t="n">
        <f aca="false">V315-C$3</f>
        <v>613</v>
      </c>
      <c r="X315" s="118" t="n">
        <f aca="false">VLOOKUP($A315,Table,MATCH(X$4,Curves,0))</f>
        <v>2</v>
      </c>
      <c r="Y315" s="123" t="n">
        <f aca="false">1/(1+CHOOSE(F$3,(X316+($K$3/10000))/2,(X315+($K$3/10000))/2))^(2*W315/365.25)</f>
        <v>0.0976250325821247</v>
      </c>
      <c r="Z315" s="67" t="n">
        <f aca="false">IF(AND(mthbeg&lt;=A315,mthend&gt;=A315),1,0)</f>
        <v>0</v>
      </c>
      <c r="AA315" s="67" t="n">
        <f aca="false">U315*Z315</f>
        <v>0</v>
      </c>
      <c r="AC315" s="110" t="n">
        <f aca="false">F315*(H315-I315)</f>
        <v>0</v>
      </c>
      <c r="AD315" s="49"/>
      <c r="AE315" s="124"/>
    </row>
    <row r="316" customFormat="false" ht="12" hidden="false" customHeight="true" outlineLevel="0" collapsed="false">
      <c r="A316" s="115" t="n">
        <f aca="false">EDATE(A315,1)</f>
        <v>46569</v>
      </c>
      <c r="B316" s="116" t="n">
        <f aca="false">'Inputs-Summary'!$B$7</f>
        <v>3017157.21662952</v>
      </c>
      <c r="C316" s="57"/>
      <c r="D316" s="117" t="n">
        <f aca="false">B316+C316</f>
        <v>3017157.21662952</v>
      </c>
      <c r="E316" s="106" t="n">
        <f aca="false">IF(Z316=0,0,IF(AND(Z316=1,$H$3=1),D316*U316,IF($H$3=2,D316,"N/A")))</f>
        <v>0</v>
      </c>
      <c r="F316" s="106" t="n">
        <f aca="false">E316*Y316</f>
        <v>0</v>
      </c>
      <c r="G316" s="118" t="n">
        <f aca="false">VLOOKUP($A316,Table,MATCH(G$4,Curves,0))</f>
        <v>3</v>
      </c>
      <c r="H316" s="119" t="n">
        <f aca="false">G316+$H$7</f>
        <v>3</v>
      </c>
      <c r="I316" s="118" t="n">
        <f aca="false">'Inputs-Summary'!$B$16</f>
        <v>1.85</v>
      </c>
      <c r="J316" s="118" t="n">
        <f aca="false">VLOOKUP($A316,Table,MATCH(J$4,Curves,0))</f>
        <v>5</v>
      </c>
      <c r="K316" s="119" t="n">
        <f aca="false">J316+$K$7</f>
        <v>5</v>
      </c>
      <c r="L316" s="120" t="n">
        <f aca="false">K316</f>
        <v>5</v>
      </c>
      <c r="M316" s="118" t="n">
        <f aca="false">VLOOKUP($A316,Table,MATCH(M$4,Curves,0))</f>
        <v>5</v>
      </c>
      <c r="N316" s="119" t="n">
        <f aca="false">M316+$N$7</f>
        <v>5</v>
      </c>
      <c r="O316" s="120" t="n">
        <f aca="false">N316</f>
        <v>5</v>
      </c>
      <c r="P316" s="109"/>
      <c r="Q316" s="120" t="n">
        <f aca="false">IF($F$3=1,M316+J316+G316,J316+G316)</f>
        <v>8</v>
      </c>
      <c r="R316" s="120" t="n">
        <f aca="false">IF($F$3=1,N316+K316+H316,K316+H316)</f>
        <v>8</v>
      </c>
      <c r="S316" s="120" t="n">
        <f aca="false">IF($F$3=1,O316+L316+I316,L316+I316)</f>
        <v>6.85</v>
      </c>
      <c r="T316" s="121"/>
      <c r="U316" s="67" t="n">
        <f aca="false">A317-A316</f>
        <v>31</v>
      </c>
      <c r="V316" s="122" t="n">
        <f aca="false">CHOOSE(F$3,A317+24,A316)</f>
        <v>46569</v>
      </c>
      <c r="W316" s="67" t="n">
        <f aca="false">V316-C$3</f>
        <v>643</v>
      </c>
      <c r="X316" s="118" t="n">
        <f aca="false">VLOOKUP($A316,Table,MATCH(X$4,Curves,0))</f>
        <v>2</v>
      </c>
      <c r="Y316" s="123" t="n">
        <f aca="false">1/(1+CHOOSE(F$3,(X317+($K$3/10000))/2,(X316+($K$3/10000))/2))^(2*W316/365.25)</f>
        <v>0.0871185581802155</v>
      </c>
      <c r="Z316" s="67" t="n">
        <f aca="false">IF(AND(mthbeg&lt;=A316,mthend&gt;=A316),1,0)</f>
        <v>0</v>
      </c>
      <c r="AA316" s="67" t="n">
        <f aca="false">U316*Z316</f>
        <v>0</v>
      </c>
      <c r="AC316" s="110" t="n">
        <f aca="false">F316*(H316-I316)</f>
        <v>0</v>
      </c>
      <c r="AD316" s="49"/>
      <c r="AE316" s="124"/>
    </row>
    <row r="317" customFormat="false" ht="12" hidden="false" customHeight="true" outlineLevel="0" collapsed="false">
      <c r="A317" s="115" t="n">
        <f aca="false">EDATE(A316,1)</f>
        <v>46600</v>
      </c>
      <c r="B317" s="116" t="n">
        <f aca="false">'Inputs-Summary'!$B$7</f>
        <v>3017157.21662952</v>
      </c>
      <c r="C317" s="57"/>
      <c r="D317" s="117" t="n">
        <f aca="false">B317+C317</f>
        <v>3017157.21662952</v>
      </c>
      <c r="E317" s="106" t="n">
        <f aca="false">IF(Z317=0,0,IF(AND(Z317=1,$H$3=1),D317*U317,IF($H$3=2,D317,"N/A")))</f>
        <v>0</v>
      </c>
      <c r="F317" s="106" t="n">
        <f aca="false">E317*Y317</f>
        <v>0</v>
      </c>
      <c r="G317" s="118" t="n">
        <f aca="false">VLOOKUP($A317,Table,MATCH(G$4,Curves,0))</f>
        <v>3</v>
      </c>
      <c r="H317" s="119" t="n">
        <f aca="false">G317+$H$7</f>
        <v>3</v>
      </c>
      <c r="I317" s="118" t="n">
        <f aca="false">'Inputs-Summary'!$B$16</f>
        <v>1.85</v>
      </c>
      <c r="J317" s="118" t="n">
        <f aca="false">VLOOKUP($A317,Table,MATCH(J$4,Curves,0))</f>
        <v>5</v>
      </c>
      <c r="K317" s="119" t="n">
        <f aca="false">J317+$K$7</f>
        <v>5</v>
      </c>
      <c r="L317" s="120" t="n">
        <f aca="false">K317</f>
        <v>5</v>
      </c>
      <c r="M317" s="118" t="n">
        <f aca="false">VLOOKUP($A317,Table,MATCH(M$4,Curves,0))</f>
        <v>5</v>
      </c>
      <c r="N317" s="119" t="n">
        <f aca="false">M317+$N$7</f>
        <v>5</v>
      </c>
      <c r="O317" s="120" t="n">
        <f aca="false">N317</f>
        <v>5</v>
      </c>
      <c r="P317" s="109"/>
      <c r="Q317" s="120" t="n">
        <f aca="false">IF($F$3=1,M317+J317+G317,J317+G317)</f>
        <v>8</v>
      </c>
      <c r="R317" s="120" t="n">
        <f aca="false">IF($F$3=1,N317+K317+H317,K317+H317)</f>
        <v>8</v>
      </c>
      <c r="S317" s="120" t="n">
        <f aca="false">IF($F$3=1,O317+L317+I317,L317+I317)</f>
        <v>6.85</v>
      </c>
      <c r="T317" s="121"/>
      <c r="U317" s="67" t="n">
        <f aca="false">A318-A317</f>
        <v>31</v>
      </c>
      <c r="V317" s="122" t="n">
        <f aca="false">CHOOSE(F$3,A318+24,A317)</f>
        <v>46600</v>
      </c>
      <c r="W317" s="67" t="n">
        <f aca="false">V317-C$3</f>
        <v>674</v>
      </c>
      <c r="X317" s="118" t="n">
        <f aca="false">VLOOKUP($A317,Table,MATCH(X$4,Curves,0))</f>
        <v>2</v>
      </c>
      <c r="Y317" s="123" t="n">
        <f aca="false">1/(1+CHOOSE(F$3,(X318+($K$3/10000))/2,(X317+($K$3/10000))/2))^(2*W317/365.25)</f>
        <v>0.077448286938762</v>
      </c>
      <c r="Z317" s="67" t="n">
        <f aca="false">IF(AND(mthbeg&lt;=A317,mthend&gt;=A317),1,0)</f>
        <v>0</v>
      </c>
      <c r="AA317" s="67" t="n">
        <f aca="false">U317*Z317</f>
        <v>0</v>
      </c>
      <c r="AC317" s="110" t="n">
        <f aca="false">F317*(H317-I317)</f>
        <v>0</v>
      </c>
      <c r="AD317" s="49"/>
      <c r="AE317" s="124"/>
    </row>
    <row r="318" customFormat="false" ht="12" hidden="false" customHeight="true" outlineLevel="0" collapsed="false">
      <c r="A318" s="115" t="n">
        <f aca="false">EDATE(A317,1)</f>
        <v>46631</v>
      </c>
      <c r="B318" s="116" t="n">
        <f aca="false">'Inputs-Summary'!$B$7</f>
        <v>3017157.21662952</v>
      </c>
      <c r="C318" s="57"/>
      <c r="D318" s="117" t="n">
        <f aca="false">B318+C318</f>
        <v>3017157.21662952</v>
      </c>
      <c r="E318" s="106" t="n">
        <f aca="false">IF(Z318=0,0,IF(AND(Z318=1,$H$3=1),D318*U318,IF($H$3=2,D318,"N/A")))</f>
        <v>0</v>
      </c>
      <c r="F318" s="106" t="n">
        <f aca="false">E318*Y318</f>
        <v>0</v>
      </c>
      <c r="G318" s="118" t="n">
        <f aca="false">VLOOKUP($A318,Table,MATCH(G$4,Curves,0))</f>
        <v>3</v>
      </c>
      <c r="H318" s="119" t="n">
        <f aca="false">G318+$H$7</f>
        <v>3</v>
      </c>
      <c r="I318" s="118" t="n">
        <f aca="false">'Inputs-Summary'!$B$16</f>
        <v>1.85</v>
      </c>
      <c r="J318" s="118" t="n">
        <f aca="false">VLOOKUP($A318,Table,MATCH(J$4,Curves,0))</f>
        <v>5</v>
      </c>
      <c r="K318" s="119" t="n">
        <f aca="false">J318+$K$7</f>
        <v>5</v>
      </c>
      <c r="L318" s="120" t="n">
        <f aca="false">K318</f>
        <v>5</v>
      </c>
      <c r="M318" s="118" t="n">
        <f aca="false">VLOOKUP($A318,Table,MATCH(M$4,Curves,0))</f>
        <v>5</v>
      </c>
      <c r="N318" s="119" t="n">
        <f aca="false">M318+$N$7</f>
        <v>5</v>
      </c>
      <c r="O318" s="120" t="n">
        <f aca="false">N318</f>
        <v>5</v>
      </c>
      <c r="P318" s="109"/>
      <c r="Q318" s="120" t="n">
        <f aca="false">IF($F$3=1,M318+J318+G318,J318+G318)</f>
        <v>8</v>
      </c>
      <c r="R318" s="120" t="n">
        <f aca="false">IF($F$3=1,N318+K318+H318,K318+H318)</f>
        <v>8</v>
      </c>
      <c r="S318" s="120" t="n">
        <f aca="false">IF($F$3=1,O318+L318+I318,L318+I318)</f>
        <v>6.85</v>
      </c>
      <c r="T318" s="121"/>
      <c r="U318" s="67" t="n">
        <f aca="false">A319-A318</f>
        <v>30</v>
      </c>
      <c r="V318" s="122" t="n">
        <f aca="false">CHOOSE(F$3,A319+24,A318)</f>
        <v>46631</v>
      </c>
      <c r="W318" s="67" t="n">
        <f aca="false">V318-C$3</f>
        <v>705</v>
      </c>
      <c r="X318" s="118" t="n">
        <f aca="false">VLOOKUP($A318,Table,MATCH(X$4,Curves,0))</f>
        <v>2</v>
      </c>
      <c r="Y318" s="123" t="n">
        <f aca="false">1/(1+CHOOSE(F$3,(X319+($K$3/10000))/2,(X318+($K$3/10000))/2))^(2*W318/365.25)</f>
        <v>0.0688514281577148</v>
      </c>
      <c r="Z318" s="67" t="n">
        <f aca="false">IF(AND(mthbeg&lt;=A318,mthend&gt;=A318),1,0)</f>
        <v>0</v>
      </c>
      <c r="AA318" s="67" t="n">
        <f aca="false">U318*Z318</f>
        <v>0</v>
      </c>
      <c r="AC318" s="110" t="n">
        <f aca="false">F318*(H318-I318)</f>
        <v>0</v>
      </c>
      <c r="AD318" s="49"/>
      <c r="AE318" s="124"/>
    </row>
    <row r="319" customFormat="false" ht="12" hidden="false" customHeight="true" outlineLevel="0" collapsed="false">
      <c r="A319" s="115" t="n">
        <f aca="false">EDATE(A318,1)</f>
        <v>46661</v>
      </c>
      <c r="B319" s="116" t="n">
        <f aca="false">'Inputs-Summary'!$B$7</f>
        <v>3017157.21662952</v>
      </c>
      <c r="C319" s="57"/>
      <c r="D319" s="117" t="n">
        <f aca="false">B319+C319</f>
        <v>3017157.21662952</v>
      </c>
      <c r="E319" s="106" t="n">
        <f aca="false">IF(Z319=0,0,IF(AND(Z319=1,$H$3=1),D319*U319,IF($H$3=2,D319,"N/A")))</f>
        <v>0</v>
      </c>
      <c r="F319" s="106" t="n">
        <f aca="false">E319*Y319</f>
        <v>0</v>
      </c>
      <c r="G319" s="118" t="n">
        <f aca="false">VLOOKUP($A319,Table,MATCH(G$4,Curves,0))</f>
        <v>3</v>
      </c>
      <c r="H319" s="119" t="n">
        <f aca="false">G319+$H$7</f>
        <v>3</v>
      </c>
      <c r="I319" s="118" t="n">
        <f aca="false">'Inputs-Summary'!$B$16</f>
        <v>1.85</v>
      </c>
      <c r="J319" s="118" t="n">
        <f aca="false">VLOOKUP($A319,Table,MATCH(J$4,Curves,0))</f>
        <v>5</v>
      </c>
      <c r="K319" s="119" t="n">
        <f aca="false">J319+$K$7</f>
        <v>5</v>
      </c>
      <c r="L319" s="120" t="n">
        <f aca="false">K319</f>
        <v>5</v>
      </c>
      <c r="M319" s="118" t="n">
        <f aca="false">VLOOKUP($A319,Table,MATCH(M$4,Curves,0))</f>
        <v>5</v>
      </c>
      <c r="N319" s="119" t="n">
        <f aca="false">M319+$N$7</f>
        <v>5</v>
      </c>
      <c r="O319" s="120" t="n">
        <f aca="false">N319</f>
        <v>5</v>
      </c>
      <c r="P319" s="109"/>
      <c r="Q319" s="120" t="n">
        <f aca="false">IF($F$3=1,M319+J319+G319,J319+G319)</f>
        <v>8</v>
      </c>
      <c r="R319" s="120" t="n">
        <f aca="false">IF($F$3=1,N319+K319+H319,K319+H319)</f>
        <v>8</v>
      </c>
      <c r="S319" s="120" t="n">
        <f aca="false">IF($F$3=1,O319+L319+I319,L319+I319)</f>
        <v>6.85</v>
      </c>
      <c r="T319" s="121"/>
      <c r="U319" s="67" t="n">
        <f aca="false">A320-A319</f>
        <v>31</v>
      </c>
      <c r="V319" s="122" t="n">
        <f aca="false">CHOOSE(F$3,A320+24,A319)</f>
        <v>46661</v>
      </c>
      <c r="W319" s="67" t="n">
        <f aca="false">V319-C$3</f>
        <v>735</v>
      </c>
      <c r="X319" s="118" t="n">
        <f aca="false">VLOOKUP($A319,Table,MATCH(X$4,Curves,0))</f>
        <v>2</v>
      </c>
      <c r="Y319" s="123" t="n">
        <f aca="false">1/(1+CHOOSE(F$3,(X320+($K$3/10000))/2,(X319+($K$3/10000))/2))^(2*W319/365.25)</f>
        <v>0.0614415892225484</v>
      </c>
      <c r="Z319" s="67" t="n">
        <f aca="false">IF(AND(mthbeg&lt;=A319,mthend&gt;=A319),1,0)</f>
        <v>0</v>
      </c>
      <c r="AA319" s="67" t="n">
        <f aca="false">U319*Z319</f>
        <v>0</v>
      </c>
      <c r="AC319" s="110" t="n">
        <f aca="false">F319*(H319-I319)</f>
        <v>0</v>
      </c>
      <c r="AD319" s="49"/>
      <c r="AE319" s="124"/>
    </row>
    <row r="320" customFormat="false" ht="12" hidden="false" customHeight="true" outlineLevel="0" collapsed="false">
      <c r="A320" s="115" t="n">
        <f aca="false">EDATE(A319,1)</f>
        <v>46692</v>
      </c>
      <c r="B320" s="116" t="n">
        <f aca="false">'Inputs-Summary'!$B$7</f>
        <v>3017157.21662952</v>
      </c>
      <c r="C320" s="57"/>
      <c r="D320" s="117" t="n">
        <f aca="false">B320+C320</f>
        <v>3017157.21662952</v>
      </c>
      <c r="E320" s="106" t="n">
        <f aca="false">IF(Z320=0,0,IF(AND(Z320=1,$H$3=1),D320*U320,IF($H$3=2,D320,"N/A")))</f>
        <v>0</v>
      </c>
      <c r="F320" s="106" t="n">
        <f aca="false">E320*Y320</f>
        <v>0</v>
      </c>
      <c r="G320" s="118" t="n">
        <f aca="false">VLOOKUP($A320,Table,MATCH(G$4,Curves,0))</f>
        <v>3</v>
      </c>
      <c r="H320" s="119" t="n">
        <f aca="false">G320+$H$7</f>
        <v>3</v>
      </c>
      <c r="I320" s="118" t="n">
        <f aca="false">'Inputs-Summary'!$B$16</f>
        <v>1.85</v>
      </c>
      <c r="J320" s="118" t="n">
        <f aca="false">VLOOKUP($A320,Table,MATCH(J$4,Curves,0))</f>
        <v>5</v>
      </c>
      <c r="K320" s="119" t="n">
        <f aca="false">J320+$K$7</f>
        <v>5</v>
      </c>
      <c r="L320" s="120" t="n">
        <f aca="false">K320</f>
        <v>5</v>
      </c>
      <c r="M320" s="118" t="n">
        <f aca="false">VLOOKUP($A320,Table,MATCH(M$4,Curves,0))</f>
        <v>5</v>
      </c>
      <c r="N320" s="119" t="n">
        <f aca="false">M320+$N$7</f>
        <v>5</v>
      </c>
      <c r="O320" s="120" t="n">
        <f aca="false">N320</f>
        <v>5</v>
      </c>
      <c r="P320" s="109"/>
      <c r="Q320" s="120" t="n">
        <f aca="false">IF($F$3=1,M320+J320+G320,J320+G320)</f>
        <v>8</v>
      </c>
      <c r="R320" s="120" t="n">
        <f aca="false">IF($F$3=1,N320+K320+H320,K320+H320)</f>
        <v>8</v>
      </c>
      <c r="S320" s="120" t="n">
        <f aca="false">IF($F$3=1,O320+L320+I320,L320+I320)</f>
        <v>6.85</v>
      </c>
      <c r="T320" s="121"/>
      <c r="U320" s="67" t="n">
        <f aca="false">A321-A320</f>
        <v>30</v>
      </c>
      <c r="V320" s="122" t="n">
        <f aca="false">CHOOSE(F$3,A321+24,A320)</f>
        <v>46692</v>
      </c>
      <c r="W320" s="67" t="n">
        <f aca="false">V320-C$3</f>
        <v>766</v>
      </c>
      <c r="X320" s="118" t="n">
        <f aca="false">VLOOKUP($A320,Table,MATCH(X$4,Curves,0))</f>
        <v>2</v>
      </c>
      <c r="Y320" s="123" t="n">
        <f aca="false">1/(1+CHOOSE(F$3,(X321+($K$3/10000))/2,(X320+($K$3/10000))/2))^(2*W320/365.25)</f>
        <v>0.0546214943346265</v>
      </c>
      <c r="Z320" s="67" t="n">
        <f aca="false">IF(AND(mthbeg&lt;=A320,mthend&gt;=A320),1,0)</f>
        <v>0</v>
      </c>
      <c r="AA320" s="67" t="n">
        <f aca="false">U320*Z320</f>
        <v>0</v>
      </c>
      <c r="AC320" s="110" t="n">
        <f aca="false">F320*(H320-I320)</f>
        <v>0</v>
      </c>
      <c r="AD320" s="49"/>
      <c r="AE320" s="124"/>
    </row>
    <row r="321" customFormat="false" ht="12" hidden="false" customHeight="true" outlineLevel="0" collapsed="false">
      <c r="A321" s="115" t="n">
        <f aca="false">EDATE(A320,1)</f>
        <v>46722</v>
      </c>
      <c r="B321" s="116" t="n">
        <f aca="false">'Inputs-Summary'!$B$7</f>
        <v>3017157.21662952</v>
      </c>
      <c r="C321" s="57"/>
      <c r="D321" s="117" t="n">
        <f aca="false">B321+C321</f>
        <v>3017157.21662952</v>
      </c>
      <c r="E321" s="106" t="n">
        <f aca="false">IF(Z321=0,0,IF(AND(Z321=1,$H$3=1),D321*U321,IF($H$3=2,D321,"N/A")))</f>
        <v>0</v>
      </c>
      <c r="F321" s="106" t="n">
        <f aca="false">E321*Y321</f>
        <v>0</v>
      </c>
      <c r="G321" s="118" t="n">
        <f aca="false">VLOOKUP($A321,Table,MATCH(G$4,Curves,0))</f>
        <v>3</v>
      </c>
      <c r="H321" s="119" t="n">
        <f aca="false">G321+$H$7</f>
        <v>3</v>
      </c>
      <c r="I321" s="118" t="n">
        <f aca="false">'Inputs-Summary'!$B$16</f>
        <v>1.85</v>
      </c>
      <c r="J321" s="118" t="n">
        <f aca="false">VLOOKUP($A321,Table,MATCH(J$4,Curves,0))</f>
        <v>5</v>
      </c>
      <c r="K321" s="119" t="n">
        <f aca="false">J321+$K$7</f>
        <v>5</v>
      </c>
      <c r="L321" s="120" t="n">
        <f aca="false">K321</f>
        <v>5</v>
      </c>
      <c r="M321" s="118" t="n">
        <f aca="false">VLOOKUP($A321,Table,MATCH(M$4,Curves,0))</f>
        <v>5</v>
      </c>
      <c r="N321" s="119" t="n">
        <f aca="false">M321+$N$7</f>
        <v>5</v>
      </c>
      <c r="O321" s="120" t="n">
        <f aca="false">N321</f>
        <v>5</v>
      </c>
      <c r="P321" s="109"/>
      <c r="Q321" s="120" t="n">
        <f aca="false">IF($F$3=1,M321+J321+G321,J321+G321)</f>
        <v>8</v>
      </c>
      <c r="R321" s="120" t="n">
        <f aca="false">IF($F$3=1,N321+K321+H321,K321+H321)</f>
        <v>8</v>
      </c>
      <c r="S321" s="120" t="n">
        <f aca="false">IF($F$3=1,O321+L321+I321,L321+I321)</f>
        <v>6.85</v>
      </c>
      <c r="T321" s="121"/>
      <c r="U321" s="67" t="n">
        <f aca="false">A322-A321</f>
        <v>31</v>
      </c>
      <c r="V321" s="122" t="n">
        <f aca="false">CHOOSE(F$3,A322+24,A321)</f>
        <v>46722</v>
      </c>
      <c r="W321" s="67" t="n">
        <f aca="false">V321-C$3</f>
        <v>796</v>
      </c>
      <c r="X321" s="118" t="n">
        <f aca="false">VLOOKUP($A321,Table,MATCH(X$4,Curves,0))</f>
        <v>2</v>
      </c>
      <c r="Y321" s="123" t="n">
        <f aca="false">1/(1+CHOOSE(F$3,(X322+($K$3/10000))/2,(X321+($K$3/10000))/2))^(2*W321/365.25)</f>
        <v>0.0487430908468938</v>
      </c>
      <c r="Z321" s="67" t="n">
        <f aca="false">IF(AND(mthbeg&lt;=A321,mthend&gt;=A321),1,0)</f>
        <v>0</v>
      </c>
      <c r="AA321" s="67" t="n">
        <f aca="false">U321*Z321</f>
        <v>0</v>
      </c>
      <c r="AC321" s="110" t="n">
        <f aca="false">F321*(H321-I321)</f>
        <v>0</v>
      </c>
      <c r="AD321" s="49"/>
      <c r="AE321" s="124"/>
    </row>
    <row r="322" customFormat="false" ht="12" hidden="false" customHeight="true" outlineLevel="0" collapsed="false">
      <c r="A322" s="115" t="n">
        <f aca="false">EDATE(A321,1)</f>
        <v>46753</v>
      </c>
      <c r="B322" s="116" t="n">
        <f aca="false">'Inputs-Summary'!$B$7</f>
        <v>3017157.21662952</v>
      </c>
      <c r="C322" s="57"/>
      <c r="D322" s="117" t="n">
        <f aca="false">B322+C322</f>
        <v>3017157.21662952</v>
      </c>
      <c r="E322" s="106" t="n">
        <f aca="false">IF(Z322=0,0,IF(AND(Z322=1,$H$3=1),D322*U322,IF($H$3=2,D322,"N/A")))</f>
        <v>0</v>
      </c>
      <c r="F322" s="106" t="n">
        <f aca="false">E322*Y322</f>
        <v>0</v>
      </c>
      <c r="G322" s="118" t="n">
        <f aca="false">VLOOKUP($A322,Table,MATCH(G$4,Curves,0))</f>
        <v>3</v>
      </c>
      <c r="H322" s="119" t="n">
        <f aca="false">G322+$H$7</f>
        <v>3</v>
      </c>
      <c r="I322" s="118" t="n">
        <f aca="false">'Inputs-Summary'!$B$16</f>
        <v>1.85</v>
      </c>
      <c r="J322" s="118" t="n">
        <f aca="false">VLOOKUP($A322,Table,MATCH(J$4,Curves,0))</f>
        <v>5</v>
      </c>
      <c r="K322" s="119" t="n">
        <f aca="false">J322+$K$7</f>
        <v>5</v>
      </c>
      <c r="L322" s="120" t="n">
        <f aca="false">K322</f>
        <v>5</v>
      </c>
      <c r="M322" s="118" t="n">
        <f aca="false">VLOOKUP($A322,Table,MATCH(M$4,Curves,0))</f>
        <v>5</v>
      </c>
      <c r="N322" s="119" t="n">
        <f aca="false">M322+$N$7</f>
        <v>5</v>
      </c>
      <c r="O322" s="120" t="n">
        <f aca="false">N322</f>
        <v>5</v>
      </c>
      <c r="P322" s="109"/>
      <c r="Q322" s="120" t="n">
        <f aca="false">IF($F$3=1,M322+J322+G322,J322+G322)</f>
        <v>8</v>
      </c>
      <c r="R322" s="120" t="n">
        <f aca="false">IF($F$3=1,N322+K322+H322,K322+H322)</f>
        <v>8</v>
      </c>
      <c r="S322" s="120" t="n">
        <f aca="false">IF($F$3=1,O322+L322+I322,L322+I322)</f>
        <v>6.85</v>
      </c>
      <c r="T322" s="121"/>
      <c r="U322" s="67" t="n">
        <f aca="false">A323-A322</f>
        <v>31</v>
      </c>
      <c r="V322" s="122" t="n">
        <f aca="false">CHOOSE(F$3,A323+24,A322)</f>
        <v>46753</v>
      </c>
      <c r="W322" s="67" t="n">
        <f aca="false">V322-C$3</f>
        <v>827</v>
      </c>
      <c r="X322" s="118" t="n">
        <f aca="false">VLOOKUP($A322,Table,MATCH(X$4,Curves,0))</f>
        <v>2</v>
      </c>
      <c r="Y322" s="123" t="n">
        <f aca="false">1/(1+CHOOSE(F$3,(X323+($K$3/10000))/2,(X322+($K$3/10000))/2))^(2*W322/365.25)</f>
        <v>0.0433325454994696</v>
      </c>
      <c r="Z322" s="67" t="n">
        <f aca="false">IF(AND(mthbeg&lt;=A322,mthend&gt;=A322),1,0)</f>
        <v>0</v>
      </c>
      <c r="AA322" s="67" t="n">
        <f aca="false">U322*Z322</f>
        <v>0</v>
      </c>
      <c r="AC322" s="110" t="n">
        <f aca="false">F322*(H322-I322)</f>
        <v>0</v>
      </c>
      <c r="AD322" s="49"/>
      <c r="AE322" s="124"/>
    </row>
    <row r="323" customFormat="false" ht="12" hidden="false" customHeight="true" outlineLevel="0" collapsed="false">
      <c r="A323" s="115" t="n">
        <f aca="false">EDATE(A322,1)</f>
        <v>46784</v>
      </c>
      <c r="B323" s="116" t="n">
        <f aca="false">'Inputs-Summary'!$B$7</f>
        <v>3017157.21662952</v>
      </c>
      <c r="C323" s="57"/>
      <c r="D323" s="117" t="n">
        <f aca="false">B323+C323</f>
        <v>3017157.21662952</v>
      </c>
      <c r="E323" s="106" t="n">
        <f aca="false">IF(Z323=0,0,IF(AND(Z323=1,$H$3=1),D323*U323,IF($H$3=2,D323,"N/A")))</f>
        <v>0</v>
      </c>
      <c r="F323" s="106" t="n">
        <f aca="false">E323*Y323</f>
        <v>0</v>
      </c>
      <c r="G323" s="118" t="n">
        <f aca="false">VLOOKUP($A323,Table,MATCH(G$4,Curves,0))</f>
        <v>3</v>
      </c>
      <c r="H323" s="119" t="n">
        <f aca="false">G323+$H$7</f>
        <v>3</v>
      </c>
      <c r="I323" s="118" t="n">
        <f aca="false">'Inputs-Summary'!$B$16</f>
        <v>1.85</v>
      </c>
      <c r="J323" s="118" t="n">
        <f aca="false">VLOOKUP($A323,Table,MATCH(J$4,Curves,0))</f>
        <v>5</v>
      </c>
      <c r="K323" s="119" t="n">
        <f aca="false">J323+$K$7</f>
        <v>5</v>
      </c>
      <c r="L323" s="120" t="n">
        <f aca="false">K323</f>
        <v>5</v>
      </c>
      <c r="M323" s="118" t="n">
        <f aca="false">VLOOKUP($A323,Table,MATCH(M$4,Curves,0))</f>
        <v>5</v>
      </c>
      <c r="N323" s="119" t="n">
        <f aca="false">M323+$N$7</f>
        <v>5</v>
      </c>
      <c r="O323" s="120" t="n">
        <f aca="false">N323</f>
        <v>5</v>
      </c>
      <c r="P323" s="109"/>
      <c r="Q323" s="120" t="n">
        <f aca="false">IF($F$3=1,M323+J323+G323,J323+G323)</f>
        <v>8</v>
      </c>
      <c r="R323" s="120" t="n">
        <f aca="false">IF($F$3=1,N323+K323+H323,K323+H323)</f>
        <v>8</v>
      </c>
      <c r="S323" s="120" t="n">
        <f aca="false">IF($F$3=1,O323+L323+I323,L323+I323)</f>
        <v>6.85</v>
      </c>
      <c r="T323" s="121"/>
      <c r="U323" s="67" t="n">
        <f aca="false">A324-A323</f>
        <v>29</v>
      </c>
      <c r="V323" s="122" t="n">
        <f aca="false">CHOOSE(F$3,A324+24,A323)</f>
        <v>46784</v>
      </c>
      <c r="W323" s="67" t="n">
        <f aca="false">V323-C$3</f>
        <v>858</v>
      </c>
      <c r="X323" s="118" t="n">
        <f aca="false">VLOOKUP($A323,Table,MATCH(X$4,Curves,0))</f>
        <v>2</v>
      </c>
      <c r="Y323" s="123" t="n">
        <f aca="false">1/(1+CHOOSE(F$3,(X324+($K$3/10000))/2,(X323+($K$3/10000))/2))^(2*W323/365.25)</f>
        <v>0.0385225775969284</v>
      </c>
      <c r="Z323" s="67" t="n">
        <f aca="false">IF(AND(mthbeg&lt;=A323,mthend&gt;=A323),1,0)</f>
        <v>0</v>
      </c>
      <c r="AA323" s="67" t="n">
        <f aca="false">U323*Z323</f>
        <v>0</v>
      </c>
      <c r="AC323" s="110" t="n">
        <f aca="false">F323*(H323-I323)</f>
        <v>0</v>
      </c>
      <c r="AD323" s="49"/>
      <c r="AE323" s="124"/>
    </row>
    <row r="324" customFormat="false" ht="12" hidden="false" customHeight="true" outlineLevel="0" collapsed="false">
      <c r="A324" s="115" t="n">
        <f aca="false">EDATE(A323,1)</f>
        <v>46813</v>
      </c>
      <c r="B324" s="116" t="n">
        <f aca="false">'Inputs-Summary'!$B$7</f>
        <v>3017157.21662952</v>
      </c>
      <c r="C324" s="57"/>
      <c r="D324" s="117" t="n">
        <f aca="false">B324+C324</f>
        <v>3017157.21662952</v>
      </c>
      <c r="E324" s="106" t="n">
        <f aca="false">IF(Z324=0,0,IF(AND(Z324=1,$H$3=1),D324*U324,IF($H$3=2,D324,"N/A")))</f>
        <v>0</v>
      </c>
      <c r="F324" s="106" t="n">
        <f aca="false">E324*Y324</f>
        <v>0</v>
      </c>
      <c r="G324" s="118" t="n">
        <f aca="false">VLOOKUP($A324,Table,MATCH(G$4,Curves,0))</f>
        <v>3</v>
      </c>
      <c r="H324" s="119" t="n">
        <f aca="false">G324+$H$7</f>
        <v>3</v>
      </c>
      <c r="I324" s="118" t="n">
        <f aca="false">'Inputs-Summary'!$B$16</f>
        <v>1.85</v>
      </c>
      <c r="J324" s="118" t="n">
        <f aca="false">VLOOKUP($A324,Table,MATCH(J$4,Curves,0))</f>
        <v>5</v>
      </c>
      <c r="K324" s="119" t="n">
        <f aca="false">J324+$K$7</f>
        <v>5</v>
      </c>
      <c r="L324" s="120" t="n">
        <f aca="false">K324</f>
        <v>5</v>
      </c>
      <c r="M324" s="118" t="n">
        <f aca="false">VLOOKUP($A324,Table,MATCH(M$4,Curves,0))</f>
        <v>5</v>
      </c>
      <c r="N324" s="119" t="n">
        <f aca="false">M324+$N$7</f>
        <v>5</v>
      </c>
      <c r="O324" s="120" t="n">
        <f aca="false">N324</f>
        <v>5</v>
      </c>
      <c r="P324" s="109"/>
      <c r="Q324" s="120" t="n">
        <f aca="false">IF($F$3=1,M324+J324+G324,J324+G324)</f>
        <v>8</v>
      </c>
      <c r="R324" s="120" t="n">
        <f aca="false">IF($F$3=1,N324+K324+H324,K324+H324)</f>
        <v>8</v>
      </c>
      <c r="S324" s="120" t="n">
        <f aca="false">IF($F$3=1,O324+L324+I324,L324+I324)</f>
        <v>6.85</v>
      </c>
      <c r="T324" s="121"/>
      <c r="U324" s="67" t="n">
        <f aca="false">A325-A324</f>
        <v>31</v>
      </c>
      <c r="V324" s="122" t="n">
        <f aca="false">CHOOSE(F$3,A325+24,A324)</f>
        <v>46813</v>
      </c>
      <c r="W324" s="67" t="n">
        <f aca="false">V324-C$3</f>
        <v>887</v>
      </c>
      <c r="X324" s="118" t="n">
        <f aca="false">VLOOKUP($A324,Table,MATCH(X$4,Curves,0))</f>
        <v>2</v>
      </c>
      <c r="Y324" s="123" t="n">
        <f aca="false">1/(1+CHOOSE(F$3,(X325+($K$3/10000))/2,(X324+($K$3/10000))/2))^(2*W324/365.25)</f>
        <v>0.0345074745561734</v>
      </c>
      <c r="Z324" s="67" t="n">
        <f aca="false">IF(AND(mthbeg&lt;=A324,mthend&gt;=A324),1,0)</f>
        <v>0</v>
      </c>
      <c r="AA324" s="67" t="n">
        <f aca="false">U324*Z324</f>
        <v>0</v>
      </c>
      <c r="AC324" s="110" t="n">
        <f aca="false">F324*(H324-I324)</f>
        <v>0</v>
      </c>
      <c r="AD324" s="49"/>
      <c r="AE324" s="124"/>
    </row>
    <row r="325" customFormat="false" ht="12" hidden="false" customHeight="true" outlineLevel="0" collapsed="false">
      <c r="A325" s="115" t="n">
        <f aca="false">EDATE(A324,1)</f>
        <v>46844</v>
      </c>
      <c r="B325" s="116" t="n">
        <f aca="false">'Inputs-Summary'!$B$7</f>
        <v>3017157.21662952</v>
      </c>
      <c r="C325" s="57"/>
      <c r="D325" s="117" t="n">
        <f aca="false">B325+C325</f>
        <v>3017157.21662952</v>
      </c>
      <c r="E325" s="106" t="n">
        <f aca="false">IF(Z325=0,0,IF(AND(Z325=1,$H$3=1),D325*U325,IF($H$3=2,D325,"N/A")))</f>
        <v>0</v>
      </c>
      <c r="F325" s="106" t="n">
        <f aca="false">E325*Y325</f>
        <v>0</v>
      </c>
      <c r="G325" s="118" t="n">
        <f aca="false">VLOOKUP($A325,Table,MATCH(G$4,Curves,0))</f>
        <v>3</v>
      </c>
      <c r="H325" s="119" t="n">
        <f aca="false">G325+$H$7</f>
        <v>3</v>
      </c>
      <c r="I325" s="118" t="n">
        <f aca="false">'Inputs-Summary'!$B$16</f>
        <v>1.85</v>
      </c>
      <c r="J325" s="118" t="n">
        <f aca="false">VLOOKUP($A325,Table,MATCH(J$4,Curves,0))</f>
        <v>5</v>
      </c>
      <c r="K325" s="119" t="n">
        <f aca="false">J325+$K$7</f>
        <v>5</v>
      </c>
      <c r="L325" s="120" t="n">
        <f aca="false">K325</f>
        <v>5</v>
      </c>
      <c r="M325" s="118" t="n">
        <f aca="false">VLOOKUP($A325,Table,MATCH(M$4,Curves,0))</f>
        <v>5</v>
      </c>
      <c r="N325" s="119" t="n">
        <f aca="false">M325+$N$7</f>
        <v>5</v>
      </c>
      <c r="O325" s="120" t="n">
        <f aca="false">N325</f>
        <v>5</v>
      </c>
      <c r="P325" s="109"/>
      <c r="Q325" s="120" t="n">
        <f aca="false">IF($F$3=1,M325+J325+G325,J325+G325)</f>
        <v>8</v>
      </c>
      <c r="R325" s="120" t="n">
        <f aca="false">IF($F$3=1,N325+K325+H325,K325+H325)</f>
        <v>8</v>
      </c>
      <c r="S325" s="120" t="n">
        <f aca="false">IF($F$3=1,O325+L325+I325,L325+I325)</f>
        <v>6.85</v>
      </c>
      <c r="T325" s="121"/>
      <c r="U325" s="67" t="n">
        <f aca="false">A326-A325</f>
        <v>30</v>
      </c>
      <c r="V325" s="122" t="n">
        <f aca="false">CHOOSE(F$3,A326+24,A325)</f>
        <v>46844</v>
      </c>
      <c r="W325" s="67" t="n">
        <f aca="false">V325-C$3</f>
        <v>918</v>
      </c>
      <c r="X325" s="118" t="n">
        <f aca="false">VLOOKUP($A325,Table,MATCH(X$4,Curves,0))</f>
        <v>2</v>
      </c>
      <c r="Y325" s="123" t="n">
        <f aca="false">1/(1+CHOOSE(F$3,(X326+($K$3/10000))/2,(X325+($K$3/10000))/2))^(2*W325/365.25)</f>
        <v>0.0306771008013018</v>
      </c>
      <c r="Z325" s="67" t="n">
        <f aca="false">IF(AND(mthbeg&lt;=A325,mthend&gt;=A325),1,0)</f>
        <v>0</v>
      </c>
      <c r="AA325" s="67" t="n">
        <f aca="false">U325*Z325</f>
        <v>0</v>
      </c>
      <c r="AC325" s="110" t="n">
        <f aca="false">F325*(H325-I325)</f>
        <v>0</v>
      </c>
      <c r="AD325" s="49"/>
      <c r="AE325" s="124"/>
    </row>
    <row r="326" customFormat="false" ht="12" hidden="false" customHeight="true" outlineLevel="0" collapsed="false">
      <c r="A326" s="115" t="n">
        <f aca="false">EDATE(A325,1)</f>
        <v>46874</v>
      </c>
      <c r="B326" s="116" t="n">
        <f aca="false">'Inputs-Summary'!$B$7</f>
        <v>3017157.21662952</v>
      </c>
      <c r="C326" s="57"/>
      <c r="D326" s="117" t="n">
        <f aca="false">B326+C326</f>
        <v>3017157.21662952</v>
      </c>
      <c r="E326" s="106" t="n">
        <f aca="false">IF(Z326=0,0,IF(AND(Z326=1,$H$3=1),D326*U326,IF($H$3=2,D326,"N/A")))</f>
        <v>0</v>
      </c>
      <c r="F326" s="106" t="n">
        <f aca="false">E326*Y326</f>
        <v>0</v>
      </c>
      <c r="G326" s="118" t="n">
        <f aca="false">VLOOKUP($A326,Table,MATCH(G$4,Curves,0))</f>
        <v>3</v>
      </c>
      <c r="H326" s="119" t="n">
        <f aca="false">G326+$H$7</f>
        <v>3</v>
      </c>
      <c r="I326" s="118" t="n">
        <f aca="false">'Inputs-Summary'!$B$16</f>
        <v>1.85</v>
      </c>
      <c r="J326" s="118" t="n">
        <f aca="false">VLOOKUP($A326,Table,MATCH(J$4,Curves,0))</f>
        <v>5</v>
      </c>
      <c r="K326" s="119" t="n">
        <f aca="false">J326+$K$7</f>
        <v>5</v>
      </c>
      <c r="L326" s="120" t="n">
        <f aca="false">K326</f>
        <v>5</v>
      </c>
      <c r="M326" s="118" t="n">
        <f aca="false">VLOOKUP($A326,Table,MATCH(M$4,Curves,0))</f>
        <v>5</v>
      </c>
      <c r="N326" s="119" t="n">
        <f aca="false">M326+$N$7</f>
        <v>5</v>
      </c>
      <c r="O326" s="120" t="n">
        <f aca="false">N326</f>
        <v>5</v>
      </c>
      <c r="P326" s="109"/>
      <c r="Q326" s="120" t="n">
        <f aca="false">IF($F$3=1,M326+J326+G326,J326+G326)</f>
        <v>8</v>
      </c>
      <c r="R326" s="120" t="n">
        <f aca="false">IF($F$3=1,N326+K326+H326,K326+H326)</f>
        <v>8</v>
      </c>
      <c r="S326" s="120" t="n">
        <f aca="false">IF($F$3=1,O326+L326+I326,L326+I326)</f>
        <v>6.85</v>
      </c>
      <c r="T326" s="121"/>
      <c r="U326" s="67" t="n">
        <f aca="false">A327-A326</f>
        <v>31</v>
      </c>
      <c r="V326" s="122" t="n">
        <f aca="false">CHOOSE(F$3,A327+24,A326)</f>
        <v>46874</v>
      </c>
      <c r="W326" s="67" t="n">
        <f aca="false">V326-C$3</f>
        <v>948</v>
      </c>
      <c r="X326" s="118" t="n">
        <f aca="false">VLOOKUP($A326,Table,MATCH(X$4,Curves,0))</f>
        <v>2</v>
      </c>
      <c r="Y326" s="123" t="n">
        <f aca="false">1/(1+CHOOSE(F$3,(X327+($K$3/10000))/2,(X326+($K$3/10000))/2))^(2*W326/365.25)</f>
        <v>0.0273756097209016</v>
      </c>
      <c r="Z326" s="67" t="n">
        <f aca="false">IF(AND(mthbeg&lt;=A326,mthend&gt;=A326),1,0)</f>
        <v>0</v>
      </c>
      <c r="AA326" s="67" t="n">
        <f aca="false">U326*Z326</f>
        <v>0</v>
      </c>
      <c r="AC326" s="110" t="n">
        <f aca="false">F326*(H326-I326)</f>
        <v>0</v>
      </c>
      <c r="AD326" s="49"/>
      <c r="AE326" s="124"/>
    </row>
    <row r="327" customFormat="false" ht="12" hidden="false" customHeight="true" outlineLevel="0" collapsed="false">
      <c r="A327" s="115" t="n">
        <f aca="false">EDATE(A326,1)</f>
        <v>46905</v>
      </c>
      <c r="B327" s="116" t="n">
        <f aca="false">'Inputs-Summary'!$B$7</f>
        <v>3017157.21662952</v>
      </c>
      <c r="C327" s="57"/>
      <c r="D327" s="117" t="n">
        <f aca="false">B327+C327</f>
        <v>3017157.21662952</v>
      </c>
      <c r="E327" s="106" t="n">
        <f aca="false">IF(Z327=0,0,IF(AND(Z327=1,$H$3=1),D327*U327,IF($H$3=2,D327,"N/A")))</f>
        <v>0</v>
      </c>
      <c r="F327" s="106" t="n">
        <f aca="false">E327*Y327</f>
        <v>0</v>
      </c>
      <c r="G327" s="118" t="n">
        <f aca="false">VLOOKUP($A327,Table,MATCH(G$4,Curves,0))</f>
        <v>3</v>
      </c>
      <c r="H327" s="119" t="n">
        <f aca="false">G327+$H$7</f>
        <v>3</v>
      </c>
      <c r="I327" s="118" t="n">
        <f aca="false">'Inputs-Summary'!$B$16</f>
        <v>1.85</v>
      </c>
      <c r="J327" s="118" t="n">
        <f aca="false">VLOOKUP($A327,Table,MATCH(J$4,Curves,0))</f>
        <v>5</v>
      </c>
      <c r="K327" s="119" t="n">
        <f aca="false">J327+$K$7</f>
        <v>5</v>
      </c>
      <c r="L327" s="120" t="n">
        <f aca="false">K327</f>
        <v>5</v>
      </c>
      <c r="M327" s="118" t="n">
        <f aca="false">VLOOKUP($A327,Table,MATCH(M$4,Curves,0))</f>
        <v>5</v>
      </c>
      <c r="N327" s="119" t="n">
        <f aca="false">M327+$N$7</f>
        <v>5</v>
      </c>
      <c r="O327" s="120" t="n">
        <f aca="false">N327</f>
        <v>5</v>
      </c>
      <c r="P327" s="109"/>
      <c r="Q327" s="120" t="n">
        <f aca="false">IF($F$3=1,M327+J327+G327,J327+G327)</f>
        <v>8</v>
      </c>
      <c r="R327" s="120" t="n">
        <f aca="false">IF($F$3=1,N327+K327+H327,K327+H327)</f>
        <v>8</v>
      </c>
      <c r="S327" s="120" t="n">
        <f aca="false">IF($F$3=1,O327+L327+I327,L327+I327)</f>
        <v>6.85</v>
      </c>
      <c r="T327" s="121"/>
      <c r="U327" s="67" t="n">
        <f aca="false">A328-A327</f>
        <v>30</v>
      </c>
      <c r="V327" s="122" t="n">
        <f aca="false">CHOOSE(F$3,A328+24,A327)</f>
        <v>46905</v>
      </c>
      <c r="W327" s="67" t="n">
        <f aca="false">V327-C$3</f>
        <v>979</v>
      </c>
      <c r="X327" s="118" t="n">
        <f aca="false">VLOOKUP($A327,Table,MATCH(X$4,Curves,0))</f>
        <v>2</v>
      </c>
      <c r="Y327" s="123" t="n">
        <f aca="false">1/(1+CHOOSE(F$3,(X328+($K$3/10000))/2,(X327+($K$3/10000))/2))^(2*W327/365.25)</f>
        <v>0.0243368820728422</v>
      </c>
      <c r="Z327" s="67" t="n">
        <f aca="false">IF(AND(mthbeg&lt;=A327,mthend&gt;=A327),1,0)</f>
        <v>0</v>
      </c>
      <c r="AA327" s="67" t="n">
        <f aca="false">U327*Z327</f>
        <v>0</v>
      </c>
      <c r="AC327" s="110" t="n">
        <f aca="false">F327*(H327-I327)</f>
        <v>0</v>
      </c>
      <c r="AD327" s="49"/>
      <c r="AE327" s="124"/>
    </row>
    <row r="328" customFormat="false" ht="12" hidden="false" customHeight="true" outlineLevel="0" collapsed="false">
      <c r="A328" s="115" t="n">
        <f aca="false">EDATE(A327,1)</f>
        <v>46935</v>
      </c>
      <c r="B328" s="116" t="n">
        <f aca="false">'Inputs-Summary'!$B$7</f>
        <v>3017157.21662952</v>
      </c>
      <c r="C328" s="57"/>
      <c r="D328" s="117" t="n">
        <f aca="false">B328+C328</f>
        <v>3017157.21662952</v>
      </c>
      <c r="E328" s="106" t="n">
        <f aca="false">IF(Z328=0,0,IF(AND(Z328=1,$H$3=1),D328*U328,IF($H$3=2,D328,"N/A")))</f>
        <v>0</v>
      </c>
      <c r="F328" s="106" t="n">
        <f aca="false">E328*Y328</f>
        <v>0</v>
      </c>
      <c r="G328" s="118" t="n">
        <f aca="false">VLOOKUP($A328,Table,MATCH(G$4,Curves,0))</f>
        <v>3</v>
      </c>
      <c r="H328" s="119" t="n">
        <f aca="false">G328+$H$7</f>
        <v>3</v>
      </c>
      <c r="I328" s="118" t="n">
        <f aca="false">'Inputs-Summary'!$B$16</f>
        <v>1.85</v>
      </c>
      <c r="J328" s="118" t="n">
        <f aca="false">VLOOKUP($A328,Table,MATCH(J$4,Curves,0))</f>
        <v>5</v>
      </c>
      <c r="K328" s="119" t="n">
        <f aca="false">J328+$K$7</f>
        <v>5</v>
      </c>
      <c r="L328" s="120" t="n">
        <f aca="false">K328</f>
        <v>5</v>
      </c>
      <c r="M328" s="118" t="n">
        <f aca="false">VLOOKUP($A328,Table,MATCH(M$4,Curves,0))</f>
        <v>5</v>
      </c>
      <c r="N328" s="119" t="n">
        <f aca="false">M328+$N$7</f>
        <v>5</v>
      </c>
      <c r="O328" s="120" t="n">
        <f aca="false">N328</f>
        <v>5</v>
      </c>
      <c r="P328" s="109"/>
      <c r="Q328" s="120" t="n">
        <f aca="false">IF($F$3=1,M328+J328+G328,J328+G328)</f>
        <v>8</v>
      </c>
      <c r="R328" s="120" t="n">
        <f aca="false">IF($F$3=1,N328+K328+H328,K328+H328)</f>
        <v>8</v>
      </c>
      <c r="S328" s="120" t="n">
        <f aca="false">IF($F$3=1,O328+L328+I328,L328+I328)</f>
        <v>6.85</v>
      </c>
      <c r="T328" s="121"/>
      <c r="U328" s="67" t="n">
        <f aca="false">A329-A328</f>
        <v>31</v>
      </c>
      <c r="V328" s="122" t="n">
        <f aca="false">CHOOSE(F$3,A329+24,A328)</f>
        <v>46935</v>
      </c>
      <c r="W328" s="67" t="n">
        <f aca="false">V328-C$3</f>
        <v>1009</v>
      </c>
      <c r="X328" s="118" t="n">
        <f aca="false">VLOOKUP($A328,Table,MATCH(X$4,Curves,0))</f>
        <v>2</v>
      </c>
      <c r="Y328" s="123" t="n">
        <f aca="false">1/(1+CHOOSE(F$3,(X329+($K$3/10000))/2,(X328+($K$3/10000))/2))^(2*W328/365.25)</f>
        <v>0.0217177297739121</v>
      </c>
      <c r="Z328" s="67" t="n">
        <f aca="false">IF(AND(mthbeg&lt;=A328,mthend&gt;=A328),1,0)</f>
        <v>0</v>
      </c>
      <c r="AA328" s="67" t="n">
        <f aca="false">U328*Z328</f>
        <v>0</v>
      </c>
      <c r="AC328" s="110" t="n">
        <f aca="false">F328*(H328-I328)</f>
        <v>0</v>
      </c>
      <c r="AD328" s="49"/>
      <c r="AE328" s="124"/>
    </row>
    <row r="329" customFormat="false" ht="12" hidden="false" customHeight="true" outlineLevel="0" collapsed="false">
      <c r="A329" s="115" t="n">
        <f aca="false">EDATE(A328,1)</f>
        <v>46966</v>
      </c>
      <c r="B329" s="116" t="n">
        <f aca="false">'Inputs-Summary'!$B$7</f>
        <v>3017157.21662952</v>
      </c>
      <c r="C329" s="57"/>
      <c r="D329" s="117" t="n">
        <f aca="false">B329+C329</f>
        <v>3017157.21662952</v>
      </c>
      <c r="E329" s="106" t="n">
        <f aca="false">IF(Z329=0,0,IF(AND(Z329=1,$H$3=1),D329*U329,IF($H$3=2,D329,"N/A")))</f>
        <v>0</v>
      </c>
      <c r="F329" s="106" t="n">
        <f aca="false">E329*Y329</f>
        <v>0</v>
      </c>
      <c r="G329" s="118" t="n">
        <f aca="false">VLOOKUP($A329,Table,MATCH(G$4,Curves,0))</f>
        <v>3</v>
      </c>
      <c r="H329" s="119" t="n">
        <f aca="false">G329+$H$7</f>
        <v>3</v>
      </c>
      <c r="I329" s="118" t="n">
        <f aca="false">'Inputs-Summary'!$B$16</f>
        <v>1.85</v>
      </c>
      <c r="J329" s="118" t="n">
        <f aca="false">VLOOKUP($A329,Table,MATCH(J$4,Curves,0))</f>
        <v>5</v>
      </c>
      <c r="K329" s="119" t="n">
        <f aca="false">J329+$K$7</f>
        <v>5</v>
      </c>
      <c r="L329" s="120" t="n">
        <f aca="false">K329</f>
        <v>5</v>
      </c>
      <c r="M329" s="118" t="n">
        <f aca="false">VLOOKUP($A329,Table,MATCH(M$4,Curves,0))</f>
        <v>5</v>
      </c>
      <c r="N329" s="119" t="n">
        <f aca="false">M329+$N$7</f>
        <v>5</v>
      </c>
      <c r="O329" s="120" t="n">
        <f aca="false">N329</f>
        <v>5</v>
      </c>
      <c r="P329" s="109"/>
      <c r="Q329" s="120" t="n">
        <f aca="false">IF($F$3=1,M329+J329+G329,J329+G329)</f>
        <v>8</v>
      </c>
      <c r="R329" s="120" t="n">
        <f aca="false">IF($F$3=1,N329+K329+H329,K329+H329)</f>
        <v>8</v>
      </c>
      <c r="S329" s="120" t="n">
        <f aca="false">IF($F$3=1,O329+L329+I329,L329+I329)</f>
        <v>6.85</v>
      </c>
      <c r="T329" s="121"/>
      <c r="U329" s="67" t="n">
        <f aca="false">A330-A329</f>
        <v>31</v>
      </c>
      <c r="V329" s="122" t="n">
        <f aca="false">CHOOSE(F$3,A330+24,A329)</f>
        <v>46966</v>
      </c>
      <c r="W329" s="67" t="n">
        <f aca="false">V329-C$3</f>
        <v>1040</v>
      </c>
      <c r="X329" s="118" t="n">
        <f aca="false">VLOOKUP($A329,Table,MATCH(X$4,Curves,0))</f>
        <v>2</v>
      </c>
      <c r="Y329" s="123" t="n">
        <f aca="false">1/(1+CHOOSE(F$3,(X330+($K$3/10000))/2,(X329+($K$3/10000))/2))^(2*W329/365.25)</f>
        <v>0.0193070340272277</v>
      </c>
      <c r="Z329" s="67" t="n">
        <f aca="false">IF(AND(mthbeg&lt;=A329,mthend&gt;=A329),1,0)</f>
        <v>0</v>
      </c>
      <c r="AA329" s="67" t="n">
        <f aca="false">U329*Z329</f>
        <v>0</v>
      </c>
      <c r="AC329" s="110" t="n">
        <f aca="false">F329*(H329-I329)</f>
        <v>0</v>
      </c>
      <c r="AD329" s="49"/>
      <c r="AE329" s="124"/>
    </row>
    <row r="330" customFormat="false" ht="12" hidden="false" customHeight="true" outlineLevel="0" collapsed="false">
      <c r="A330" s="115" t="n">
        <f aca="false">EDATE(A329,1)</f>
        <v>46997</v>
      </c>
      <c r="B330" s="116" t="n">
        <f aca="false">'Inputs-Summary'!$B$7</f>
        <v>3017157.21662952</v>
      </c>
      <c r="C330" s="57"/>
      <c r="D330" s="117" t="n">
        <f aca="false">B330+C330</f>
        <v>3017157.21662952</v>
      </c>
      <c r="E330" s="106" t="n">
        <f aca="false">IF(Z330=0,0,IF(AND(Z330=1,$H$3=1),D330*U330,IF($H$3=2,D330,"N/A")))</f>
        <v>0</v>
      </c>
      <c r="F330" s="106" t="n">
        <f aca="false">E330*Y330</f>
        <v>0</v>
      </c>
      <c r="G330" s="118" t="n">
        <f aca="false">VLOOKUP($A330,Table,MATCH(G$4,Curves,0))</f>
        <v>3</v>
      </c>
      <c r="H330" s="119" t="n">
        <f aca="false">G330+$H$7</f>
        <v>3</v>
      </c>
      <c r="I330" s="118" t="n">
        <f aca="false">'Inputs-Summary'!$B$16</f>
        <v>1.85</v>
      </c>
      <c r="J330" s="118" t="n">
        <f aca="false">VLOOKUP($A330,Table,MATCH(J$4,Curves,0))</f>
        <v>5</v>
      </c>
      <c r="K330" s="119" t="n">
        <f aca="false">J330+$K$7</f>
        <v>5</v>
      </c>
      <c r="L330" s="120" t="n">
        <f aca="false">K330</f>
        <v>5</v>
      </c>
      <c r="M330" s="118" t="n">
        <f aca="false">VLOOKUP($A330,Table,MATCH(M$4,Curves,0))</f>
        <v>5</v>
      </c>
      <c r="N330" s="119" t="n">
        <f aca="false">M330+$N$7</f>
        <v>5</v>
      </c>
      <c r="O330" s="120" t="n">
        <f aca="false">N330</f>
        <v>5</v>
      </c>
      <c r="P330" s="109"/>
      <c r="Q330" s="120" t="n">
        <f aca="false">IF($F$3=1,M330+J330+G330,J330+G330)</f>
        <v>8</v>
      </c>
      <c r="R330" s="120" t="n">
        <f aca="false">IF($F$3=1,N330+K330+H330,K330+H330)</f>
        <v>8</v>
      </c>
      <c r="S330" s="120" t="n">
        <f aca="false">IF($F$3=1,O330+L330+I330,L330+I330)</f>
        <v>6.85</v>
      </c>
      <c r="T330" s="121"/>
      <c r="U330" s="67" t="n">
        <f aca="false">A331-A330</f>
        <v>30</v>
      </c>
      <c r="V330" s="122" t="n">
        <f aca="false">CHOOSE(F$3,A331+24,A330)</f>
        <v>46997</v>
      </c>
      <c r="W330" s="67" t="n">
        <f aca="false">V330-C$3</f>
        <v>1071</v>
      </c>
      <c r="X330" s="118" t="n">
        <f aca="false">VLOOKUP($A330,Table,MATCH(X$4,Curves,0))</f>
        <v>2</v>
      </c>
      <c r="Y330" s="123" t="n">
        <f aca="false">1/(1+CHOOSE(F$3,(X331+($K$3/10000))/2,(X330+($K$3/10000))/2))^(2*W330/365.25)</f>
        <v>0.0171639285877983</v>
      </c>
      <c r="Z330" s="67" t="n">
        <f aca="false">IF(AND(mthbeg&lt;=A330,mthend&gt;=A330),1,0)</f>
        <v>0</v>
      </c>
      <c r="AA330" s="67" t="n">
        <f aca="false">U330*Z330</f>
        <v>0</v>
      </c>
      <c r="AC330" s="110" t="n">
        <f aca="false">F330*(H330-I330)</f>
        <v>0</v>
      </c>
      <c r="AD330" s="49"/>
      <c r="AE330" s="124"/>
    </row>
    <row r="331" customFormat="false" ht="12" hidden="false" customHeight="true" outlineLevel="0" collapsed="false">
      <c r="A331" s="115" t="n">
        <f aca="false">EDATE(A330,1)</f>
        <v>47027</v>
      </c>
      <c r="B331" s="116" t="n">
        <f aca="false">'Inputs-Summary'!$B$7</f>
        <v>3017157.21662952</v>
      </c>
      <c r="C331" s="57"/>
      <c r="D331" s="117" t="n">
        <f aca="false">B331+C331</f>
        <v>3017157.21662952</v>
      </c>
      <c r="E331" s="106" t="n">
        <f aca="false">IF(Z331=0,0,IF(AND(Z331=1,$H$3=1),D331*U331,IF($H$3=2,D331,"N/A")))</f>
        <v>0</v>
      </c>
      <c r="F331" s="106" t="n">
        <f aca="false">E331*Y331</f>
        <v>0</v>
      </c>
      <c r="G331" s="118" t="n">
        <f aca="false">VLOOKUP($A331,Table,MATCH(G$4,Curves,0))</f>
        <v>3</v>
      </c>
      <c r="H331" s="119" t="n">
        <f aca="false">G331+$H$7</f>
        <v>3</v>
      </c>
      <c r="I331" s="118" t="n">
        <f aca="false">'Inputs-Summary'!$B$16</f>
        <v>1.85</v>
      </c>
      <c r="J331" s="118" t="n">
        <f aca="false">VLOOKUP($A331,Table,MATCH(J$4,Curves,0))</f>
        <v>5</v>
      </c>
      <c r="K331" s="119" t="n">
        <f aca="false">J331+$K$7</f>
        <v>5</v>
      </c>
      <c r="L331" s="120" t="n">
        <f aca="false">K331</f>
        <v>5</v>
      </c>
      <c r="M331" s="118" t="n">
        <f aca="false">VLOOKUP($A331,Table,MATCH(M$4,Curves,0))</f>
        <v>5</v>
      </c>
      <c r="N331" s="119" t="n">
        <f aca="false">M331+$N$7</f>
        <v>5</v>
      </c>
      <c r="O331" s="120" t="n">
        <f aca="false">N331</f>
        <v>5</v>
      </c>
      <c r="P331" s="109"/>
      <c r="Q331" s="120" t="n">
        <f aca="false">IF($F$3=1,M331+J331+G331,J331+G331)</f>
        <v>8</v>
      </c>
      <c r="R331" s="120" t="n">
        <f aca="false">IF($F$3=1,N331+K331+H331,K331+H331)</f>
        <v>8</v>
      </c>
      <c r="S331" s="120" t="n">
        <f aca="false">IF($F$3=1,O331+L331+I331,L331+I331)</f>
        <v>6.85</v>
      </c>
      <c r="T331" s="121"/>
      <c r="U331" s="67" t="n">
        <f aca="false">A332-A331</f>
        <v>31</v>
      </c>
      <c r="V331" s="122" t="n">
        <f aca="false">CHOOSE(F$3,A332+24,A331)</f>
        <v>47027</v>
      </c>
      <c r="W331" s="67" t="n">
        <f aca="false">V331-C$3</f>
        <v>1101</v>
      </c>
      <c r="X331" s="118" t="n">
        <f aca="false">VLOOKUP($A331,Table,MATCH(X$4,Curves,0))</f>
        <v>2</v>
      </c>
      <c r="Y331" s="123" t="n">
        <f aca="false">1/(1+CHOOSE(F$3,(X332+($K$3/10000))/2,(X331+($K$3/10000))/2))^(2*W331/365.25)</f>
        <v>0.0153167345682501</v>
      </c>
      <c r="Z331" s="67" t="n">
        <f aca="false">IF(AND(mthbeg&lt;=A331,mthend&gt;=A331),1,0)</f>
        <v>0</v>
      </c>
      <c r="AA331" s="67" t="n">
        <f aca="false">U331*Z331</f>
        <v>0</v>
      </c>
      <c r="AC331" s="110" t="n">
        <f aca="false">F331*(H331-I331)</f>
        <v>0</v>
      </c>
      <c r="AD331" s="49"/>
      <c r="AE331" s="124"/>
    </row>
    <row r="332" customFormat="false" ht="12" hidden="false" customHeight="true" outlineLevel="0" collapsed="false">
      <c r="A332" s="115" t="n">
        <f aca="false">EDATE(A331,1)</f>
        <v>47058</v>
      </c>
      <c r="B332" s="116" t="n">
        <f aca="false">'Inputs-Summary'!$B$7</f>
        <v>3017157.21662952</v>
      </c>
      <c r="C332" s="57"/>
      <c r="D332" s="117" t="n">
        <f aca="false">B332+C332</f>
        <v>3017157.21662952</v>
      </c>
      <c r="E332" s="106" t="n">
        <f aca="false">IF(Z332=0,0,IF(AND(Z332=1,$H$3=1),D332*U332,IF($H$3=2,D332,"N/A")))</f>
        <v>0</v>
      </c>
      <c r="F332" s="106" t="n">
        <f aca="false">E332*Y332</f>
        <v>0</v>
      </c>
      <c r="G332" s="118" t="n">
        <f aca="false">VLOOKUP($A332,Table,MATCH(G$4,Curves,0))</f>
        <v>3</v>
      </c>
      <c r="H332" s="119" t="n">
        <f aca="false">G332+$H$7</f>
        <v>3</v>
      </c>
      <c r="I332" s="118" t="n">
        <f aca="false">'Inputs-Summary'!$B$16</f>
        <v>1.85</v>
      </c>
      <c r="J332" s="118" t="n">
        <f aca="false">VLOOKUP($A332,Table,MATCH(J$4,Curves,0))</f>
        <v>5</v>
      </c>
      <c r="K332" s="119" t="n">
        <f aca="false">J332+$K$7</f>
        <v>5</v>
      </c>
      <c r="L332" s="120" t="n">
        <f aca="false">K332</f>
        <v>5</v>
      </c>
      <c r="M332" s="118" t="n">
        <f aca="false">VLOOKUP($A332,Table,MATCH(M$4,Curves,0))</f>
        <v>5</v>
      </c>
      <c r="N332" s="119" t="n">
        <f aca="false">M332+$N$7</f>
        <v>5</v>
      </c>
      <c r="O332" s="120" t="n">
        <f aca="false">N332</f>
        <v>5</v>
      </c>
      <c r="P332" s="109"/>
      <c r="Q332" s="120" t="n">
        <f aca="false">IF($F$3=1,M332+J332+G332,J332+G332)</f>
        <v>8</v>
      </c>
      <c r="R332" s="120" t="n">
        <f aca="false">IF($F$3=1,N332+K332+H332,K332+H332)</f>
        <v>8</v>
      </c>
      <c r="S332" s="120" t="n">
        <f aca="false">IF($F$3=1,O332+L332+I332,L332+I332)</f>
        <v>6.85</v>
      </c>
      <c r="T332" s="121"/>
      <c r="U332" s="67" t="n">
        <f aca="false">A333-A332</f>
        <v>30</v>
      </c>
      <c r="V332" s="122" t="n">
        <f aca="false">CHOOSE(F$3,A333+24,A332)</f>
        <v>47058</v>
      </c>
      <c r="W332" s="67" t="n">
        <f aca="false">V332-C$3</f>
        <v>1132</v>
      </c>
      <c r="X332" s="118" t="n">
        <f aca="false">VLOOKUP($A332,Table,MATCH(X$4,Curves,0))</f>
        <v>2</v>
      </c>
      <c r="Y332" s="123" t="n">
        <f aca="false">1/(1+CHOOSE(F$3,(X333+($K$3/10000))/2,(X332+($K$3/10000))/2))^(2*W332/365.25)</f>
        <v>0.0136165574658935</v>
      </c>
      <c r="Z332" s="67" t="n">
        <f aca="false">IF(AND(mthbeg&lt;=A332,mthend&gt;=A332),1,0)</f>
        <v>0</v>
      </c>
      <c r="AA332" s="67" t="n">
        <f aca="false">U332*Z332</f>
        <v>0</v>
      </c>
      <c r="AC332" s="110" t="n">
        <f aca="false">F332*(H332-I332)</f>
        <v>0</v>
      </c>
      <c r="AD332" s="49"/>
      <c r="AE332" s="124"/>
    </row>
    <row r="333" customFormat="false" ht="12" hidden="false" customHeight="true" outlineLevel="0" collapsed="false">
      <c r="A333" s="115" t="n">
        <f aca="false">EDATE(A332,1)</f>
        <v>47088</v>
      </c>
      <c r="B333" s="116" t="n">
        <f aca="false">'Inputs-Summary'!$B$7</f>
        <v>3017157.21662952</v>
      </c>
      <c r="C333" s="57"/>
      <c r="D333" s="117" t="n">
        <f aca="false">B333+C333</f>
        <v>3017157.21662952</v>
      </c>
      <c r="E333" s="106" t="n">
        <f aca="false">IF(Z333=0,0,IF(AND(Z333=1,$H$3=1),D333*U333,IF($H$3=2,D333,"N/A")))</f>
        <v>0</v>
      </c>
      <c r="F333" s="106" t="n">
        <f aca="false">E333*Y333</f>
        <v>0</v>
      </c>
      <c r="G333" s="118" t="n">
        <f aca="false">VLOOKUP($A333,Table,MATCH(G$4,Curves,0))</f>
        <v>3</v>
      </c>
      <c r="H333" s="119" t="n">
        <f aca="false">G333+$H$7</f>
        <v>3</v>
      </c>
      <c r="I333" s="118" t="n">
        <f aca="false">'Inputs-Summary'!$B$16</f>
        <v>1.85</v>
      </c>
      <c r="J333" s="118" t="n">
        <f aca="false">VLOOKUP($A333,Table,MATCH(J$4,Curves,0))</f>
        <v>5</v>
      </c>
      <c r="K333" s="119" t="n">
        <f aca="false">J333+$K$7</f>
        <v>5</v>
      </c>
      <c r="L333" s="120" t="n">
        <f aca="false">K333</f>
        <v>5</v>
      </c>
      <c r="M333" s="118" t="n">
        <f aca="false">VLOOKUP($A333,Table,MATCH(M$4,Curves,0))</f>
        <v>5</v>
      </c>
      <c r="N333" s="119" t="n">
        <f aca="false">M333+$N$7</f>
        <v>5</v>
      </c>
      <c r="O333" s="120" t="n">
        <f aca="false">N333</f>
        <v>5</v>
      </c>
      <c r="P333" s="109"/>
      <c r="Q333" s="120" t="n">
        <f aca="false">IF($F$3=1,M333+J333+G333,J333+G333)</f>
        <v>8</v>
      </c>
      <c r="R333" s="120" t="n">
        <f aca="false">IF($F$3=1,N333+K333+H333,K333+H333)</f>
        <v>8</v>
      </c>
      <c r="S333" s="120" t="n">
        <f aca="false">IF($F$3=1,O333+L333+I333,L333+I333)</f>
        <v>6.85</v>
      </c>
      <c r="T333" s="121"/>
      <c r="U333" s="67" t="n">
        <f aca="false">A334-A333</f>
        <v>31</v>
      </c>
      <c r="V333" s="122" t="n">
        <f aca="false">CHOOSE(F$3,A334+24,A333)</f>
        <v>47088</v>
      </c>
      <c r="W333" s="67" t="n">
        <f aca="false">V333-C$3</f>
        <v>1162</v>
      </c>
      <c r="X333" s="118" t="n">
        <f aca="false">VLOOKUP($A333,Table,MATCH(X$4,Curves,0))</f>
        <v>2</v>
      </c>
      <c r="Y333" s="123" t="n">
        <f aca="false">1/(1+CHOOSE(F$3,(X334+($K$3/10000))/2,(X333+($K$3/10000))/2))^(2*W333/365.25)</f>
        <v>0.0121511340117483</v>
      </c>
      <c r="Z333" s="67" t="n">
        <f aca="false">IF(AND(mthbeg&lt;=A333,mthend&gt;=A333),1,0)</f>
        <v>0</v>
      </c>
      <c r="AA333" s="67" t="n">
        <f aca="false">U333*Z333</f>
        <v>0</v>
      </c>
      <c r="AC333" s="110" t="n">
        <f aca="false">F333*(H333-I333)</f>
        <v>0</v>
      </c>
      <c r="AD333" s="49"/>
      <c r="AE333" s="124"/>
    </row>
    <row r="334" customFormat="false" ht="12" hidden="false" customHeight="true" outlineLevel="0" collapsed="false">
      <c r="A334" s="115" t="n">
        <f aca="false">EDATE(A333,1)</f>
        <v>47119</v>
      </c>
      <c r="B334" s="116" t="n">
        <f aca="false">'Inputs-Summary'!$B$7</f>
        <v>3017157.21662952</v>
      </c>
      <c r="C334" s="57"/>
      <c r="D334" s="117" t="n">
        <f aca="false">B334+C334</f>
        <v>3017157.21662952</v>
      </c>
      <c r="E334" s="106" t="n">
        <f aca="false">IF(Z334=0,0,IF(AND(Z334=1,$H$3=1),D334*U334,IF($H$3=2,D334,"N/A")))</f>
        <v>0</v>
      </c>
      <c r="F334" s="106" t="n">
        <f aca="false">E334*Y334</f>
        <v>0</v>
      </c>
      <c r="G334" s="118" t="n">
        <f aca="false">VLOOKUP($A334,Table,MATCH(G$4,Curves,0))</f>
        <v>3</v>
      </c>
      <c r="H334" s="119" t="n">
        <f aca="false">G334+$H$7</f>
        <v>3</v>
      </c>
      <c r="I334" s="118" t="n">
        <f aca="false">'Inputs-Summary'!$B$16</f>
        <v>1.85</v>
      </c>
      <c r="J334" s="118" t="n">
        <f aca="false">VLOOKUP($A334,Table,MATCH(J$4,Curves,0))</f>
        <v>5</v>
      </c>
      <c r="K334" s="119" t="n">
        <f aca="false">J334+$K$7</f>
        <v>5</v>
      </c>
      <c r="L334" s="120" t="n">
        <f aca="false">K334</f>
        <v>5</v>
      </c>
      <c r="M334" s="118" t="n">
        <f aca="false">VLOOKUP($A334,Table,MATCH(M$4,Curves,0))</f>
        <v>5</v>
      </c>
      <c r="N334" s="119" t="n">
        <f aca="false">M334+$N$7</f>
        <v>5</v>
      </c>
      <c r="O334" s="120" t="n">
        <f aca="false">N334</f>
        <v>5</v>
      </c>
      <c r="P334" s="109"/>
      <c r="Q334" s="120" t="n">
        <f aca="false">IF($F$3=1,M334+J334+G334,J334+G334)</f>
        <v>8</v>
      </c>
      <c r="R334" s="120" t="n">
        <f aca="false">IF($F$3=1,N334+K334+H334,K334+H334)</f>
        <v>8</v>
      </c>
      <c r="S334" s="120" t="n">
        <f aca="false">IF($F$3=1,O334+L334+I334,L334+I334)</f>
        <v>6.85</v>
      </c>
      <c r="T334" s="121"/>
      <c r="U334" s="67" t="n">
        <f aca="false">A335-A334</f>
        <v>31</v>
      </c>
      <c r="V334" s="122" t="n">
        <f aca="false">CHOOSE(F$3,A335+24,A334)</f>
        <v>47119</v>
      </c>
      <c r="W334" s="67" t="n">
        <f aca="false">V334-C$3</f>
        <v>1193</v>
      </c>
      <c r="X334" s="118" t="n">
        <f aca="false">VLOOKUP($A334,Table,MATCH(X$4,Curves,0))</f>
        <v>2</v>
      </c>
      <c r="Y334" s="123" t="n">
        <f aca="false">1/(1+CHOOSE(F$3,(X335+($K$3/10000))/2,(X334+($K$3/10000))/2))^(2*W334/365.25)</f>
        <v>0.0108023426148362</v>
      </c>
      <c r="Z334" s="67" t="n">
        <f aca="false">IF(AND(mthbeg&lt;=A334,mthend&gt;=A334),1,0)</f>
        <v>0</v>
      </c>
      <c r="AA334" s="67" t="n">
        <f aca="false">U334*Z334</f>
        <v>0</v>
      </c>
      <c r="AC334" s="110" t="n">
        <f aca="false">F334*(H334-I334)</f>
        <v>0</v>
      </c>
      <c r="AD334" s="49"/>
      <c r="AE334" s="124"/>
    </row>
    <row r="335" customFormat="false" ht="12" hidden="false" customHeight="true" outlineLevel="0" collapsed="false">
      <c r="A335" s="115" t="n">
        <f aca="false">EDATE(A334,1)</f>
        <v>47150</v>
      </c>
      <c r="B335" s="116" t="n">
        <f aca="false">'Inputs-Summary'!$B$7</f>
        <v>3017157.21662952</v>
      </c>
      <c r="C335" s="57"/>
      <c r="D335" s="117" t="n">
        <f aca="false">B335+C335</f>
        <v>3017157.21662952</v>
      </c>
      <c r="E335" s="106" t="n">
        <f aca="false">IF(Z335=0,0,IF(AND(Z335=1,$H$3=1),D335*U335,IF($H$3=2,D335,"N/A")))</f>
        <v>0</v>
      </c>
      <c r="F335" s="106" t="n">
        <f aca="false">E335*Y335</f>
        <v>0</v>
      </c>
      <c r="G335" s="118" t="n">
        <f aca="false">VLOOKUP($A335,Table,MATCH(G$4,Curves,0))</f>
        <v>3</v>
      </c>
      <c r="H335" s="119" t="n">
        <f aca="false">G335+$H$7</f>
        <v>3</v>
      </c>
      <c r="I335" s="118" t="n">
        <f aca="false">'Inputs-Summary'!$B$16</f>
        <v>1.85</v>
      </c>
      <c r="J335" s="118" t="n">
        <f aca="false">VLOOKUP($A335,Table,MATCH(J$4,Curves,0))</f>
        <v>5</v>
      </c>
      <c r="K335" s="119" t="n">
        <f aca="false">J335+$K$7</f>
        <v>5</v>
      </c>
      <c r="L335" s="120" t="n">
        <f aca="false">K335</f>
        <v>5</v>
      </c>
      <c r="M335" s="118" t="n">
        <f aca="false">VLOOKUP($A335,Table,MATCH(M$4,Curves,0))</f>
        <v>5</v>
      </c>
      <c r="N335" s="119" t="n">
        <f aca="false">M335+$N$7</f>
        <v>5</v>
      </c>
      <c r="O335" s="120" t="n">
        <f aca="false">N335</f>
        <v>5</v>
      </c>
      <c r="P335" s="109"/>
      <c r="Q335" s="120" t="n">
        <f aca="false">IF($F$3=1,M335+J335+G335,J335+G335)</f>
        <v>8</v>
      </c>
      <c r="R335" s="120" t="n">
        <f aca="false">IF($F$3=1,N335+K335+H335,K335+H335)</f>
        <v>8</v>
      </c>
      <c r="S335" s="120" t="n">
        <f aca="false">IF($F$3=1,O335+L335+I335,L335+I335)</f>
        <v>6.85</v>
      </c>
      <c r="T335" s="121"/>
      <c r="U335" s="67" t="n">
        <f aca="false">A336-A335</f>
        <v>28</v>
      </c>
      <c r="V335" s="122" t="n">
        <f aca="false">CHOOSE(F$3,A336+24,A335)</f>
        <v>47150</v>
      </c>
      <c r="W335" s="67" t="n">
        <f aca="false">V335-C$3</f>
        <v>1224</v>
      </c>
      <c r="X335" s="118" t="n">
        <f aca="false">VLOOKUP($A335,Table,MATCH(X$4,Curves,0))</f>
        <v>2</v>
      </c>
      <c r="Y335" s="123" t="n">
        <f aca="false">1/(1+CHOOSE(F$3,(X336+($K$3/10000))/2,(X335+($K$3/10000))/2))^(2*W335/365.25)</f>
        <v>0.00960326878589971</v>
      </c>
      <c r="Z335" s="67" t="n">
        <f aca="false">IF(AND(mthbeg&lt;=A335,mthend&gt;=A335),1,0)</f>
        <v>0</v>
      </c>
      <c r="AA335" s="67" t="n">
        <f aca="false">U335*Z335</f>
        <v>0</v>
      </c>
      <c r="AC335" s="110" t="n">
        <f aca="false">F335*(H335-I335)</f>
        <v>0</v>
      </c>
      <c r="AD335" s="49"/>
      <c r="AE335" s="124"/>
    </row>
    <row r="336" customFormat="false" ht="12" hidden="false" customHeight="true" outlineLevel="0" collapsed="false">
      <c r="A336" s="115" t="n">
        <f aca="false">EDATE(A335,1)</f>
        <v>47178</v>
      </c>
      <c r="B336" s="116" t="n">
        <f aca="false">'Inputs-Summary'!$B$7</f>
        <v>3017157.21662952</v>
      </c>
      <c r="C336" s="57"/>
      <c r="D336" s="117" t="n">
        <f aca="false">B336+C336</f>
        <v>3017157.21662952</v>
      </c>
      <c r="E336" s="106" t="n">
        <f aca="false">IF(Z336=0,0,IF(AND(Z336=1,$H$3=1),D336*U336,IF($H$3=2,D336,"N/A")))</f>
        <v>0</v>
      </c>
      <c r="F336" s="106" t="n">
        <f aca="false">E336*Y336</f>
        <v>0</v>
      </c>
      <c r="G336" s="118" t="n">
        <f aca="false">VLOOKUP($A336,Table,MATCH(G$4,Curves,0))</f>
        <v>3</v>
      </c>
      <c r="H336" s="119" t="n">
        <f aca="false">G336+$H$7</f>
        <v>3</v>
      </c>
      <c r="I336" s="118" t="n">
        <f aca="false">'Inputs-Summary'!$B$16</f>
        <v>1.85</v>
      </c>
      <c r="J336" s="118" t="n">
        <f aca="false">VLOOKUP($A336,Table,MATCH(J$4,Curves,0))</f>
        <v>5</v>
      </c>
      <c r="K336" s="119" t="n">
        <f aca="false">J336+$K$7</f>
        <v>5</v>
      </c>
      <c r="L336" s="120" t="n">
        <f aca="false">K336</f>
        <v>5</v>
      </c>
      <c r="M336" s="118" t="n">
        <f aca="false">VLOOKUP($A336,Table,MATCH(M$4,Curves,0))</f>
        <v>5</v>
      </c>
      <c r="N336" s="119" t="n">
        <f aca="false">M336+$N$7</f>
        <v>5</v>
      </c>
      <c r="O336" s="120" t="n">
        <f aca="false">N336</f>
        <v>5</v>
      </c>
      <c r="P336" s="109"/>
      <c r="Q336" s="120" t="n">
        <f aca="false">IF($F$3=1,M336+J336+G336,J336+G336)</f>
        <v>8</v>
      </c>
      <c r="R336" s="120" t="n">
        <f aca="false">IF($F$3=1,N336+K336+H336,K336+H336)</f>
        <v>8</v>
      </c>
      <c r="S336" s="120" t="n">
        <f aca="false">IF($F$3=1,O336+L336+I336,L336+I336)</f>
        <v>6.85</v>
      </c>
      <c r="T336" s="121"/>
      <c r="U336" s="67" t="n">
        <f aca="false">A337-A336</f>
        <v>31</v>
      </c>
      <c r="V336" s="122" t="n">
        <f aca="false">CHOOSE(F$3,A337+24,A336)</f>
        <v>47178</v>
      </c>
      <c r="W336" s="67" t="n">
        <f aca="false">V336-C$3</f>
        <v>1252</v>
      </c>
      <c r="X336" s="118" t="n">
        <f aca="false">VLOOKUP($A336,Table,MATCH(X$4,Curves,0))</f>
        <v>2</v>
      </c>
      <c r="Y336" s="123" t="n">
        <f aca="false">1/(1+CHOOSE(F$3,(X337+($K$3/10000))/2,(X336+($K$3/10000))/2))^(2*W336/365.25)</f>
        <v>0.00863505827290531</v>
      </c>
      <c r="Z336" s="67" t="n">
        <f aca="false">IF(AND(mthbeg&lt;=A336,mthend&gt;=A336),1,0)</f>
        <v>0</v>
      </c>
      <c r="AA336" s="67" t="n">
        <f aca="false">U336*Z336</f>
        <v>0</v>
      </c>
      <c r="AC336" s="110" t="n">
        <f aca="false">F336*(H336-I336)</f>
        <v>0</v>
      </c>
      <c r="AD336" s="49"/>
      <c r="AE336" s="124"/>
    </row>
    <row r="337" customFormat="false" ht="12" hidden="false" customHeight="true" outlineLevel="0" collapsed="false">
      <c r="A337" s="115" t="n">
        <f aca="false">EDATE(A336,1)</f>
        <v>47209</v>
      </c>
      <c r="B337" s="116" t="n">
        <f aca="false">'Inputs-Summary'!$B$7</f>
        <v>3017157.21662952</v>
      </c>
      <c r="C337" s="57"/>
      <c r="D337" s="117" t="n">
        <f aca="false">B337+C337</f>
        <v>3017157.21662952</v>
      </c>
      <c r="E337" s="106" t="n">
        <f aca="false">IF(Z337=0,0,IF(AND(Z337=1,$H$3=1),D337*U337,IF($H$3=2,D337,"N/A")))</f>
        <v>0</v>
      </c>
      <c r="F337" s="106" t="n">
        <f aca="false">E337*Y337</f>
        <v>0</v>
      </c>
      <c r="G337" s="118" t="n">
        <f aca="false">VLOOKUP($A337,Table,MATCH(G$4,Curves,0))</f>
        <v>3</v>
      </c>
      <c r="H337" s="119" t="n">
        <f aca="false">G337+$H$7</f>
        <v>3</v>
      </c>
      <c r="I337" s="118" t="n">
        <f aca="false">'Inputs-Summary'!$B$16</f>
        <v>1.85</v>
      </c>
      <c r="J337" s="118" t="n">
        <f aca="false">VLOOKUP($A337,Table,MATCH(J$4,Curves,0))</f>
        <v>5</v>
      </c>
      <c r="K337" s="119" t="n">
        <f aca="false">J337+$K$7</f>
        <v>5</v>
      </c>
      <c r="L337" s="120" t="n">
        <f aca="false">K337</f>
        <v>5</v>
      </c>
      <c r="M337" s="118" t="n">
        <f aca="false">VLOOKUP($A337,Table,MATCH(M$4,Curves,0))</f>
        <v>5</v>
      </c>
      <c r="N337" s="119" t="n">
        <f aca="false">M337+$N$7</f>
        <v>5</v>
      </c>
      <c r="O337" s="120" t="n">
        <f aca="false">N337</f>
        <v>5</v>
      </c>
      <c r="P337" s="109"/>
      <c r="Q337" s="120" t="n">
        <f aca="false">IF($F$3=1,M337+J337+G337,J337+G337)</f>
        <v>8</v>
      </c>
      <c r="R337" s="120" t="n">
        <f aca="false">IF($F$3=1,N337+K337+H337,K337+H337)</f>
        <v>8</v>
      </c>
      <c r="S337" s="120" t="n">
        <f aca="false">IF($F$3=1,O337+L337+I337,L337+I337)</f>
        <v>6.85</v>
      </c>
      <c r="T337" s="121"/>
      <c r="U337" s="67" t="n">
        <f aca="false">A338-A337</f>
        <v>30</v>
      </c>
      <c r="V337" s="122" t="n">
        <f aca="false">CHOOSE(F$3,A338+24,A337)</f>
        <v>47209</v>
      </c>
      <c r="W337" s="67" t="n">
        <f aca="false">V337-C$3</f>
        <v>1283</v>
      </c>
      <c r="X337" s="118" t="n">
        <f aca="false">VLOOKUP($A337,Table,MATCH(X$4,Curves,0))</f>
        <v>2</v>
      </c>
      <c r="Y337" s="123" t="n">
        <f aca="false">1/(1+CHOOSE(F$3,(X338+($K$3/10000))/2,(X337+($K$3/10000))/2))^(2*W337/365.25)</f>
        <v>0.00767655577436745</v>
      </c>
      <c r="Z337" s="67" t="n">
        <f aca="false">IF(AND(mthbeg&lt;=A337,mthend&gt;=A337),1,0)</f>
        <v>0</v>
      </c>
      <c r="AA337" s="67" t="n">
        <f aca="false">U337*Z337</f>
        <v>0</v>
      </c>
      <c r="AC337" s="110" t="n">
        <f aca="false">F337*(H337-I337)</f>
        <v>0</v>
      </c>
      <c r="AD337" s="49"/>
      <c r="AE337" s="124"/>
    </row>
    <row r="338" customFormat="false" ht="12" hidden="false" customHeight="true" outlineLevel="0" collapsed="false">
      <c r="A338" s="115" t="n">
        <f aca="false">EDATE(A337,1)</f>
        <v>47239</v>
      </c>
      <c r="B338" s="116" t="n">
        <f aca="false">'Inputs-Summary'!$B$7</f>
        <v>3017157.21662952</v>
      </c>
      <c r="C338" s="57"/>
      <c r="D338" s="117" t="n">
        <f aca="false">B338+C338</f>
        <v>3017157.21662952</v>
      </c>
      <c r="E338" s="106" t="n">
        <f aca="false">IF(Z338=0,0,IF(AND(Z338=1,$H$3=1),D338*U338,IF($H$3=2,D338,"N/A")))</f>
        <v>0</v>
      </c>
      <c r="F338" s="106" t="n">
        <f aca="false">E338*Y338</f>
        <v>0</v>
      </c>
      <c r="G338" s="118" t="n">
        <f aca="false">VLOOKUP($A338,Table,MATCH(G$4,Curves,0))</f>
        <v>3</v>
      </c>
      <c r="H338" s="119" t="n">
        <f aca="false">G338+$H$7</f>
        <v>3</v>
      </c>
      <c r="I338" s="118" t="n">
        <f aca="false">'Inputs-Summary'!$B$16</f>
        <v>1.85</v>
      </c>
      <c r="J338" s="118" t="n">
        <f aca="false">VLOOKUP($A338,Table,MATCH(J$4,Curves,0))</f>
        <v>5</v>
      </c>
      <c r="K338" s="119" t="n">
        <f aca="false">J338+$K$7</f>
        <v>5</v>
      </c>
      <c r="L338" s="120" t="n">
        <f aca="false">K338</f>
        <v>5</v>
      </c>
      <c r="M338" s="118" t="n">
        <f aca="false">VLOOKUP($A338,Table,MATCH(M$4,Curves,0))</f>
        <v>5</v>
      </c>
      <c r="N338" s="119" t="n">
        <f aca="false">M338+$N$7</f>
        <v>5</v>
      </c>
      <c r="O338" s="120" t="n">
        <f aca="false">N338</f>
        <v>5</v>
      </c>
      <c r="P338" s="109"/>
      <c r="Q338" s="120" t="n">
        <f aca="false">IF($F$3=1,M338+J338+G338,J338+G338)</f>
        <v>8</v>
      </c>
      <c r="R338" s="120" t="n">
        <f aca="false">IF($F$3=1,N338+K338+H338,K338+H338)</f>
        <v>8</v>
      </c>
      <c r="S338" s="120" t="n">
        <f aca="false">IF($F$3=1,O338+L338+I338,L338+I338)</f>
        <v>6.85</v>
      </c>
      <c r="T338" s="121"/>
      <c r="U338" s="67" t="n">
        <f aca="false">A339-A338</f>
        <v>31</v>
      </c>
      <c r="V338" s="122" t="n">
        <f aca="false">CHOOSE(F$3,A339+24,A338)</f>
        <v>47239</v>
      </c>
      <c r="W338" s="67" t="n">
        <f aca="false">V338-C$3</f>
        <v>1313</v>
      </c>
      <c r="X338" s="118" t="n">
        <f aca="false">VLOOKUP($A338,Table,MATCH(X$4,Curves,0))</f>
        <v>2</v>
      </c>
      <c r="Y338" s="123" t="n">
        <f aca="false">1/(1+CHOOSE(F$3,(X339+($K$3/10000))/2,(X338+($K$3/10000))/2))^(2*W338/365.25)</f>
        <v>0.00685039946378828</v>
      </c>
      <c r="Z338" s="67" t="n">
        <f aca="false">IF(AND(mthbeg&lt;=A338,mthend&gt;=A338),1,0)</f>
        <v>0</v>
      </c>
      <c r="AA338" s="67" t="n">
        <f aca="false">U338*Z338</f>
        <v>0</v>
      </c>
      <c r="AC338" s="110" t="n">
        <f aca="false">F338*(H338-I338)</f>
        <v>0</v>
      </c>
      <c r="AD338" s="49"/>
      <c r="AE338" s="124"/>
    </row>
    <row r="339" customFormat="false" ht="12" hidden="false" customHeight="true" outlineLevel="0" collapsed="false">
      <c r="A339" s="115" t="n">
        <f aca="false">EDATE(A338,1)</f>
        <v>47270</v>
      </c>
      <c r="B339" s="116" t="n">
        <f aca="false">'Inputs-Summary'!$B$7</f>
        <v>3017157.21662952</v>
      </c>
      <c r="C339" s="57"/>
      <c r="D339" s="117" t="n">
        <f aca="false">B339+C339</f>
        <v>3017157.21662952</v>
      </c>
      <c r="E339" s="106" t="n">
        <f aca="false">IF(Z339=0,0,IF(AND(Z339=1,$H$3=1),D339*U339,IF($H$3=2,D339,"N/A")))</f>
        <v>0</v>
      </c>
      <c r="F339" s="106" t="n">
        <f aca="false">E339*Y339</f>
        <v>0</v>
      </c>
      <c r="G339" s="118" t="n">
        <f aca="false">VLOOKUP($A339,Table,MATCH(G$4,Curves,0))</f>
        <v>3</v>
      </c>
      <c r="H339" s="119" t="n">
        <f aca="false">G339+$H$7</f>
        <v>3</v>
      </c>
      <c r="I339" s="118" t="n">
        <f aca="false">'Inputs-Summary'!$B$16</f>
        <v>1.85</v>
      </c>
      <c r="J339" s="118" t="n">
        <f aca="false">VLOOKUP($A339,Table,MATCH(J$4,Curves,0))</f>
        <v>5</v>
      </c>
      <c r="K339" s="119" t="n">
        <f aca="false">J339+$K$7</f>
        <v>5</v>
      </c>
      <c r="L339" s="120" t="n">
        <f aca="false">K339</f>
        <v>5</v>
      </c>
      <c r="M339" s="118" t="n">
        <f aca="false">VLOOKUP($A339,Table,MATCH(M$4,Curves,0))</f>
        <v>5</v>
      </c>
      <c r="N339" s="119" t="n">
        <f aca="false">M339+$N$7</f>
        <v>5</v>
      </c>
      <c r="O339" s="120" t="n">
        <f aca="false">N339</f>
        <v>5</v>
      </c>
      <c r="P339" s="109"/>
      <c r="Q339" s="120" t="n">
        <f aca="false">IF($F$3=1,M339+J339+G339,J339+G339)</f>
        <v>8</v>
      </c>
      <c r="R339" s="120" t="n">
        <f aca="false">IF($F$3=1,N339+K339+H339,K339+H339)</f>
        <v>8</v>
      </c>
      <c r="S339" s="120" t="n">
        <f aca="false">IF($F$3=1,O339+L339+I339,L339+I339)</f>
        <v>6.85</v>
      </c>
      <c r="T339" s="121"/>
      <c r="U339" s="67" t="n">
        <f aca="false">A340-A339</f>
        <v>30</v>
      </c>
      <c r="V339" s="122" t="n">
        <f aca="false">CHOOSE(F$3,A340+24,A339)</f>
        <v>47270</v>
      </c>
      <c r="W339" s="67" t="n">
        <f aca="false">V339-C$3</f>
        <v>1344</v>
      </c>
      <c r="X339" s="118" t="n">
        <f aca="false">VLOOKUP($A339,Table,MATCH(X$4,Curves,0))</f>
        <v>2</v>
      </c>
      <c r="Y339" s="123" t="n">
        <f aca="false">1/(1+CHOOSE(F$3,(X340+($K$3/10000))/2,(X339+($K$3/10000))/2))^(2*W339/365.25)</f>
        <v>0.00608999637274878</v>
      </c>
      <c r="Z339" s="67" t="n">
        <f aca="false">IF(AND(mthbeg&lt;=A339,mthend&gt;=A339),1,0)</f>
        <v>0</v>
      </c>
      <c r="AA339" s="67" t="n">
        <f aca="false">U339*Z339</f>
        <v>0</v>
      </c>
      <c r="AC339" s="110" t="n">
        <f aca="false">F339*(H339-I339)</f>
        <v>0</v>
      </c>
      <c r="AD339" s="49"/>
      <c r="AE339" s="124"/>
    </row>
    <row r="340" customFormat="false" ht="12" hidden="false" customHeight="true" outlineLevel="0" collapsed="false">
      <c r="A340" s="115" t="n">
        <f aca="false">EDATE(A339,1)</f>
        <v>47300</v>
      </c>
      <c r="B340" s="116" t="n">
        <f aca="false">'Inputs-Summary'!$B$7</f>
        <v>3017157.21662952</v>
      </c>
      <c r="C340" s="57"/>
      <c r="D340" s="117" t="n">
        <f aca="false">B340+C340</f>
        <v>3017157.21662952</v>
      </c>
      <c r="E340" s="106" t="n">
        <f aca="false">IF(Z340=0,0,IF(AND(Z340=1,$H$3=1),D340*U340,IF($H$3=2,D340,"N/A")))</f>
        <v>0</v>
      </c>
      <c r="F340" s="106" t="n">
        <f aca="false">E340*Y340</f>
        <v>0</v>
      </c>
      <c r="G340" s="118" t="n">
        <f aca="false">VLOOKUP($A340,Table,MATCH(G$4,Curves,0))</f>
        <v>3</v>
      </c>
      <c r="H340" s="119" t="n">
        <f aca="false">G340+$H$7</f>
        <v>3</v>
      </c>
      <c r="I340" s="118" t="n">
        <f aca="false">'Inputs-Summary'!$B$16</f>
        <v>1.85</v>
      </c>
      <c r="J340" s="118" t="n">
        <f aca="false">VLOOKUP($A340,Table,MATCH(J$4,Curves,0))</f>
        <v>5</v>
      </c>
      <c r="K340" s="119" t="n">
        <f aca="false">J340+$K$7</f>
        <v>5</v>
      </c>
      <c r="L340" s="120" t="n">
        <f aca="false">K340</f>
        <v>5</v>
      </c>
      <c r="M340" s="118" t="n">
        <f aca="false">VLOOKUP($A340,Table,MATCH(M$4,Curves,0))</f>
        <v>5</v>
      </c>
      <c r="N340" s="119" t="n">
        <f aca="false">M340+$N$7</f>
        <v>5</v>
      </c>
      <c r="O340" s="120" t="n">
        <f aca="false">N340</f>
        <v>5</v>
      </c>
      <c r="P340" s="109"/>
      <c r="Q340" s="120" t="n">
        <f aca="false">IF($F$3=1,M340+J340+G340,J340+G340)</f>
        <v>8</v>
      </c>
      <c r="R340" s="120" t="n">
        <f aca="false">IF($F$3=1,N340+K340+H340,K340+H340)</f>
        <v>8</v>
      </c>
      <c r="S340" s="120" t="n">
        <f aca="false">IF($F$3=1,O340+L340+I340,L340+I340)</f>
        <v>6.85</v>
      </c>
      <c r="T340" s="121"/>
      <c r="U340" s="67" t="n">
        <f aca="false">A341-A340</f>
        <v>31</v>
      </c>
      <c r="V340" s="122" t="n">
        <f aca="false">CHOOSE(F$3,A341+24,A340)</f>
        <v>47300</v>
      </c>
      <c r="W340" s="67" t="n">
        <f aca="false">V340-C$3</f>
        <v>1374</v>
      </c>
      <c r="X340" s="118" t="n">
        <f aca="false">VLOOKUP($A340,Table,MATCH(X$4,Curves,0))</f>
        <v>2</v>
      </c>
      <c r="Y340" s="123" t="n">
        <f aca="false">1/(1+CHOOSE(F$3,(X341+($K$3/10000))/2,(X340+($K$3/10000))/2))^(2*W340/365.25)</f>
        <v>0.00543458669650432</v>
      </c>
      <c r="Z340" s="67" t="n">
        <f aca="false">IF(AND(mthbeg&lt;=A340,mthend&gt;=A340),1,0)</f>
        <v>0</v>
      </c>
      <c r="AA340" s="67" t="n">
        <f aca="false">U340*Z340</f>
        <v>0</v>
      </c>
      <c r="AC340" s="110" t="n">
        <f aca="false">F340*(H340-I340)</f>
        <v>0</v>
      </c>
      <c r="AD340" s="49"/>
      <c r="AE340" s="124"/>
    </row>
    <row r="341" customFormat="false" ht="12" hidden="false" customHeight="true" outlineLevel="0" collapsed="false">
      <c r="A341" s="115" t="n">
        <f aca="false">EDATE(A340,1)</f>
        <v>47331</v>
      </c>
      <c r="B341" s="116" t="n">
        <f aca="false">'Inputs-Summary'!$B$7</f>
        <v>3017157.21662952</v>
      </c>
      <c r="C341" s="57"/>
      <c r="D341" s="117" t="n">
        <f aca="false">B341+C341</f>
        <v>3017157.21662952</v>
      </c>
      <c r="E341" s="106" t="n">
        <f aca="false">IF(Z341=0,0,IF(AND(Z341=1,$H$3=1),D341*U341,IF($H$3=2,D341,"N/A")))</f>
        <v>0</v>
      </c>
      <c r="F341" s="106" t="n">
        <f aca="false">E341*Y341</f>
        <v>0</v>
      </c>
      <c r="G341" s="118" t="n">
        <f aca="false">VLOOKUP($A341,Table,MATCH(G$4,Curves,0))</f>
        <v>3</v>
      </c>
      <c r="H341" s="119" t="n">
        <f aca="false">G341+$H$7</f>
        <v>3</v>
      </c>
      <c r="I341" s="118" t="n">
        <f aca="false">'Inputs-Summary'!$B$16</f>
        <v>1.85</v>
      </c>
      <c r="J341" s="118" t="n">
        <f aca="false">VLOOKUP($A341,Table,MATCH(J$4,Curves,0))</f>
        <v>5</v>
      </c>
      <c r="K341" s="119" t="n">
        <f aca="false">J341+$K$7</f>
        <v>5</v>
      </c>
      <c r="L341" s="120" t="n">
        <f aca="false">K341</f>
        <v>5</v>
      </c>
      <c r="M341" s="118" t="n">
        <f aca="false">VLOOKUP($A341,Table,MATCH(M$4,Curves,0))</f>
        <v>5</v>
      </c>
      <c r="N341" s="119" t="n">
        <f aca="false">M341+$N$7</f>
        <v>5</v>
      </c>
      <c r="O341" s="120" t="n">
        <f aca="false">N341</f>
        <v>5</v>
      </c>
      <c r="P341" s="109"/>
      <c r="Q341" s="120" t="n">
        <f aca="false">IF($F$3=1,M341+J341+G341,J341+G341)</f>
        <v>8</v>
      </c>
      <c r="R341" s="120" t="n">
        <f aca="false">IF($F$3=1,N341+K341+H341,K341+H341)</f>
        <v>8</v>
      </c>
      <c r="S341" s="120" t="n">
        <f aca="false">IF($F$3=1,O341+L341+I341,L341+I341)</f>
        <v>6.85</v>
      </c>
      <c r="T341" s="121"/>
      <c r="U341" s="67" t="n">
        <f aca="false">A342-A341</f>
        <v>31</v>
      </c>
      <c r="V341" s="122" t="n">
        <f aca="false">CHOOSE(F$3,A342+24,A341)</f>
        <v>47331</v>
      </c>
      <c r="W341" s="67" t="n">
        <f aca="false">V341-C$3</f>
        <v>1405</v>
      </c>
      <c r="X341" s="118" t="n">
        <f aca="false">VLOOKUP($A341,Table,MATCH(X$4,Curves,0))</f>
        <v>2</v>
      </c>
      <c r="Y341" s="123" t="n">
        <f aca="false">1/(1+CHOOSE(F$3,(X342+($K$3/10000))/2,(X341+($K$3/10000))/2))^(2*W341/365.25)</f>
        <v>0.00483134063116337</v>
      </c>
      <c r="Z341" s="67" t="n">
        <f aca="false">IF(AND(mthbeg&lt;=A341,mthend&gt;=A341),1,0)</f>
        <v>0</v>
      </c>
      <c r="AA341" s="67" t="n">
        <f aca="false">U341*Z341</f>
        <v>0</v>
      </c>
      <c r="AC341" s="110" t="n">
        <f aca="false">F341*(H341-I341)</f>
        <v>0</v>
      </c>
      <c r="AD341" s="49"/>
      <c r="AE341" s="124"/>
    </row>
    <row r="342" customFormat="false" ht="12" hidden="false" customHeight="true" outlineLevel="0" collapsed="false">
      <c r="A342" s="115" t="n">
        <f aca="false">EDATE(A341,1)</f>
        <v>47362</v>
      </c>
      <c r="B342" s="116" t="n">
        <f aca="false">'Inputs-Summary'!$B$7</f>
        <v>3017157.21662952</v>
      </c>
      <c r="C342" s="57"/>
      <c r="D342" s="117" t="n">
        <f aca="false">B342+C342</f>
        <v>3017157.21662952</v>
      </c>
      <c r="E342" s="106" t="n">
        <f aca="false">IF(Z342=0,0,IF(AND(Z342=1,$H$3=1),D342*U342,IF($H$3=2,D342,"N/A")))</f>
        <v>0</v>
      </c>
      <c r="F342" s="106" t="n">
        <f aca="false">E342*Y342</f>
        <v>0</v>
      </c>
      <c r="G342" s="118" t="n">
        <f aca="false">VLOOKUP($A342,Table,MATCH(G$4,Curves,0))</f>
        <v>3</v>
      </c>
      <c r="H342" s="119" t="n">
        <f aca="false">G342+$H$7</f>
        <v>3</v>
      </c>
      <c r="I342" s="118" t="n">
        <f aca="false">'Inputs-Summary'!$B$16</f>
        <v>1.85</v>
      </c>
      <c r="J342" s="118" t="n">
        <f aca="false">VLOOKUP($A342,Table,MATCH(J$4,Curves,0))</f>
        <v>5</v>
      </c>
      <c r="K342" s="119" t="n">
        <f aca="false">J342+$K$7</f>
        <v>5</v>
      </c>
      <c r="L342" s="120" t="n">
        <f aca="false">K342</f>
        <v>5</v>
      </c>
      <c r="M342" s="118" t="n">
        <f aca="false">VLOOKUP($A342,Table,MATCH(M$4,Curves,0))</f>
        <v>5</v>
      </c>
      <c r="N342" s="119" t="n">
        <f aca="false">M342+$N$7</f>
        <v>5</v>
      </c>
      <c r="O342" s="120" t="n">
        <f aca="false">N342</f>
        <v>5</v>
      </c>
      <c r="P342" s="109"/>
      <c r="Q342" s="120" t="n">
        <f aca="false">IF($F$3=1,M342+J342+G342,J342+G342)</f>
        <v>8</v>
      </c>
      <c r="R342" s="120" t="n">
        <f aca="false">IF($F$3=1,N342+K342+H342,K342+H342)</f>
        <v>8</v>
      </c>
      <c r="S342" s="120" t="n">
        <f aca="false">IF($F$3=1,O342+L342+I342,L342+I342)</f>
        <v>6.85</v>
      </c>
      <c r="T342" s="121"/>
      <c r="U342" s="67" t="n">
        <f aca="false">A343-A342</f>
        <v>30</v>
      </c>
      <c r="V342" s="122" t="n">
        <f aca="false">CHOOSE(F$3,A343+24,A342)</f>
        <v>47362</v>
      </c>
      <c r="W342" s="67" t="n">
        <f aca="false">V342-C$3</f>
        <v>1436</v>
      </c>
      <c r="X342" s="118" t="n">
        <f aca="false">VLOOKUP($A342,Table,MATCH(X$4,Curves,0))</f>
        <v>2</v>
      </c>
      <c r="Y342" s="123" t="n">
        <f aca="false">1/(1+CHOOSE(F$3,(X343+($K$3/10000))/2,(X342+($K$3/10000))/2))^(2*W342/365.25)</f>
        <v>0.00429505564964935</v>
      </c>
      <c r="Z342" s="67" t="n">
        <f aca="false">IF(AND(mthbeg&lt;=A342,mthend&gt;=A342),1,0)</f>
        <v>0</v>
      </c>
      <c r="AA342" s="67" t="n">
        <f aca="false">U342*Z342</f>
        <v>0</v>
      </c>
      <c r="AC342" s="110" t="n">
        <f aca="false">F342*(H342-I342)</f>
        <v>0</v>
      </c>
      <c r="AD342" s="49"/>
      <c r="AE342" s="124"/>
    </row>
    <row r="343" customFormat="false" ht="12" hidden="false" customHeight="true" outlineLevel="0" collapsed="false">
      <c r="A343" s="115" t="n">
        <f aca="false">EDATE(A342,1)</f>
        <v>47392</v>
      </c>
      <c r="B343" s="116" t="n">
        <f aca="false">'Inputs-Summary'!$B$7</f>
        <v>3017157.21662952</v>
      </c>
      <c r="C343" s="57"/>
      <c r="D343" s="117" t="n">
        <f aca="false">B343+C343</f>
        <v>3017157.21662952</v>
      </c>
      <c r="E343" s="106" t="n">
        <f aca="false">IF(Z343=0,0,IF(AND(Z343=1,$H$3=1),D343*U343,IF($H$3=2,D343,"N/A")))</f>
        <v>0</v>
      </c>
      <c r="F343" s="106" t="n">
        <f aca="false">E343*Y343</f>
        <v>0</v>
      </c>
      <c r="G343" s="118" t="n">
        <f aca="false">VLOOKUP($A343,Table,MATCH(G$4,Curves,0))</f>
        <v>3</v>
      </c>
      <c r="H343" s="119" t="n">
        <f aca="false">G343+$H$7</f>
        <v>3</v>
      </c>
      <c r="I343" s="118" t="n">
        <f aca="false">'Inputs-Summary'!$B$16</f>
        <v>1.85</v>
      </c>
      <c r="J343" s="118" t="n">
        <f aca="false">VLOOKUP($A343,Table,MATCH(J$4,Curves,0))</f>
        <v>5</v>
      </c>
      <c r="K343" s="119" t="n">
        <f aca="false">J343+$K$7</f>
        <v>5</v>
      </c>
      <c r="L343" s="120" t="n">
        <f aca="false">K343</f>
        <v>5</v>
      </c>
      <c r="M343" s="118" t="n">
        <f aca="false">VLOOKUP($A343,Table,MATCH(M$4,Curves,0))</f>
        <v>5</v>
      </c>
      <c r="N343" s="119" t="n">
        <f aca="false">M343+$N$7</f>
        <v>5</v>
      </c>
      <c r="O343" s="120" t="n">
        <f aca="false">N343</f>
        <v>5</v>
      </c>
      <c r="P343" s="109"/>
      <c r="Q343" s="120" t="n">
        <f aca="false">IF($F$3=1,M343+J343+G343,J343+G343)</f>
        <v>8</v>
      </c>
      <c r="R343" s="120" t="n">
        <f aca="false">IF($F$3=1,N343+K343+H343,K343+H343)</f>
        <v>8</v>
      </c>
      <c r="S343" s="120" t="n">
        <f aca="false">IF($F$3=1,O343+L343+I343,L343+I343)</f>
        <v>6.85</v>
      </c>
      <c r="T343" s="121"/>
      <c r="U343" s="67" t="n">
        <f aca="false">A344-A343</f>
        <v>31</v>
      </c>
      <c r="V343" s="122" t="n">
        <f aca="false">CHOOSE(F$3,A344+24,A343)</f>
        <v>47392</v>
      </c>
      <c r="W343" s="67" t="n">
        <f aca="false">V343-C$3</f>
        <v>1466</v>
      </c>
      <c r="X343" s="118" t="n">
        <f aca="false">VLOOKUP($A343,Table,MATCH(X$4,Curves,0))</f>
        <v>2</v>
      </c>
      <c r="Y343" s="123" t="n">
        <f aca="false">1/(1+CHOOSE(F$3,(X344+($K$3/10000))/2,(X343+($K$3/10000))/2))^(2*W343/365.25)</f>
        <v>0.00383281875154788</v>
      </c>
      <c r="Z343" s="67" t="n">
        <f aca="false">IF(AND(mthbeg&lt;=A343,mthend&gt;=A343),1,0)</f>
        <v>0</v>
      </c>
      <c r="AA343" s="67" t="n">
        <f aca="false">U343*Z343</f>
        <v>0</v>
      </c>
      <c r="AC343" s="110" t="n">
        <f aca="false">F343*(H343-I343)</f>
        <v>0</v>
      </c>
      <c r="AD343" s="49"/>
      <c r="AE343" s="124"/>
    </row>
    <row r="344" customFormat="false" ht="12" hidden="false" customHeight="true" outlineLevel="0" collapsed="false">
      <c r="A344" s="115" t="n">
        <f aca="false">EDATE(A343,1)</f>
        <v>47423</v>
      </c>
      <c r="B344" s="116" t="n">
        <f aca="false">'Inputs-Summary'!$B$7</f>
        <v>3017157.21662952</v>
      </c>
      <c r="C344" s="57"/>
      <c r="D344" s="117" t="n">
        <f aca="false">B344+C344</f>
        <v>3017157.21662952</v>
      </c>
      <c r="E344" s="106" t="n">
        <f aca="false">IF(Z344=0,0,IF(AND(Z344=1,$H$3=1),D344*U344,IF($H$3=2,D344,"N/A")))</f>
        <v>0</v>
      </c>
      <c r="F344" s="106" t="n">
        <f aca="false">E344*Y344</f>
        <v>0</v>
      </c>
      <c r="G344" s="118" t="n">
        <f aca="false">VLOOKUP($A344,Table,MATCH(G$4,Curves,0))</f>
        <v>3</v>
      </c>
      <c r="H344" s="119" t="n">
        <f aca="false">G344+$H$7</f>
        <v>3</v>
      </c>
      <c r="I344" s="118" t="n">
        <f aca="false">'Inputs-Summary'!$B$16</f>
        <v>1.85</v>
      </c>
      <c r="J344" s="118" t="n">
        <f aca="false">VLOOKUP($A344,Table,MATCH(J$4,Curves,0))</f>
        <v>5</v>
      </c>
      <c r="K344" s="119" t="n">
        <f aca="false">J344+$K$7</f>
        <v>5</v>
      </c>
      <c r="L344" s="120" t="n">
        <f aca="false">K344</f>
        <v>5</v>
      </c>
      <c r="M344" s="118" t="n">
        <f aca="false">VLOOKUP($A344,Table,MATCH(M$4,Curves,0))</f>
        <v>5</v>
      </c>
      <c r="N344" s="119" t="n">
        <f aca="false">M344+$N$7</f>
        <v>5</v>
      </c>
      <c r="O344" s="120" t="n">
        <f aca="false">N344</f>
        <v>5</v>
      </c>
      <c r="P344" s="109"/>
      <c r="Q344" s="120" t="n">
        <f aca="false">IF($F$3=1,M344+J344+G344,J344+G344)</f>
        <v>8</v>
      </c>
      <c r="R344" s="120" t="n">
        <f aca="false">IF($F$3=1,N344+K344+H344,K344+H344)</f>
        <v>8</v>
      </c>
      <c r="S344" s="120" t="n">
        <f aca="false">IF($F$3=1,O344+L344+I344,L344+I344)</f>
        <v>6.85</v>
      </c>
      <c r="T344" s="121"/>
      <c r="U344" s="67" t="n">
        <f aca="false">A345-A344</f>
        <v>30</v>
      </c>
      <c r="V344" s="122" t="n">
        <f aca="false">CHOOSE(F$3,A345+24,A344)</f>
        <v>47423</v>
      </c>
      <c r="W344" s="67" t="n">
        <f aca="false">V344-C$3</f>
        <v>1497</v>
      </c>
      <c r="X344" s="118" t="n">
        <f aca="false">VLOOKUP($A344,Table,MATCH(X$4,Curves,0))</f>
        <v>2</v>
      </c>
      <c r="Y344" s="123" t="n">
        <f aca="false">1/(1+CHOOSE(F$3,(X345+($K$3/10000))/2,(X344+($K$3/10000))/2))^(2*W344/365.25)</f>
        <v>0.00340737097416244</v>
      </c>
      <c r="Z344" s="67" t="n">
        <f aca="false">IF(AND(mthbeg&lt;=A344,mthend&gt;=A344),1,0)</f>
        <v>0</v>
      </c>
      <c r="AA344" s="67" t="n">
        <f aca="false">U344*Z344</f>
        <v>0</v>
      </c>
      <c r="AC344" s="110" t="n">
        <f aca="false">F344*(H344-I344)</f>
        <v>0</v>
      </c>
      <c r="AD344" s="49"/>
      <c r="AE344" s="124"/>
    </row>
    <row r="345" customFormat="false" ht="12" hidden="false" customHeight="true" outlineLevel="0" collapsed="false">
      <c r="A345" s="115" t="n">
        <f aca="false">EDATE(A344,1)</f>
        <v>47453</v>
      </c>
      <c r="B345" s="116" t="n">
        <f aca="false">'Inputs-Summary'!$B$7</f>
        <v>3017157.21662952</v>
      </c>
      <c r="C345" s="57"/>
      <c r="D345" s="117" t="n">
        <f aca="false">B345+C345</f>
        <v>3017157.21662952</v>
      </c>
      <c r="E345" s="106" t="n">
        <f aca="false">IF(Z345=0,0,IF(AND(Z345=1,$H$3=1),D345*U345,IF($H$3=2,D345,"N/A")))</f>
        <v>0</v>
      </c>
      <c r="F345" s="106" t="n">
        <f aca="false">E345*Y345</f>
        <v>0</v>
      </c>
      <c r="G345" s="118" t="n">
        <f aca="false">VLOOKUP($A345,Table,MATCH(G$4,Curves,0))</f>
        <v>3</v>
      </c>
      <c r="H345" s="119" t="n">
        <f aca="false">G345+$H$7</f>
        <v>3</v>
      </c>
      <c r="I345" s="118" t="n">
        <f aca="false">'Inputs-Summary'!$B$16</f>
        <v>1.85</v>
      </c>
      <c r="J345" s="118" t="n">
        <f aca="false">VLOOKUP($A345,Table,MATCH(J$4,Curves,0))</f>
        <v>5</v>
      </c>
      <c r="K345" s="119" t="n">
        <f aca="false">J345+$K$7</f>
        <v>5</v>
      </c>
      <c r="L345" s="120" t="n">
        <f aca="false">K345</f>
        <v>5</v>
      </c>
      <c r="M345" s="118" t="n">
        <f aca="false">VLOOKUP($A345,Table,MATCH(M$4,Curves,0))</f>
        <v>5</v>
      </c>
      <c r="N345" s="119" t="n">
        <f aca="false">M345+$N$7</f>
        <v>5</v>
      </c>
      <c r="O345" s="120" t="n">
        <f aca="false">N345</f>
        <v>5</v>
      </c>
      <c r="P345" s="109"/>
      <c r="Q345" s="120" t="n">
        <f aca="false">IF($F$3=1,M345+J345+G345,J345+G345)</f>
        <v>8</v>
      </c>
      <c r="R345" s="120" t="n">
        <f aca="false">IF($F$3=1,N345+K345+H345,K345+H345)</f>
        <v>8</v>
      </c>
      <c r="S345" s="120" t="n">
        <f aca="false">IF($F$3=1,O345+L345+I345,L345+I345)</f>
        <v>6.85</v>
      </c>
      <c r="T345" s="121"/>
      <c r="U345" s="67" t="n">
        <f aca="false">A346-A345</f>
        <v>31</v>
      </c>
      <c r="V345" s="122" t="n">
        <f aca="false">CHOOSE(F$3,A346+24,A345)</f>
        <v>47453</v>
      </c>
      <c r="W345" s="67" t="n">
        <f aca="false">V345-C$3</f>
        <v>1527</v>
      </c>
      <c r="X345" s="118" t="n">
        <f aca="false">VLOOKUP($A345,Table,MATCH(X$4,Curves,0))</f>
        <v>2</v>
      </c>
      <c r="Y345" s="123" t="n">
        <f aca="false">1/(1+CHOOSE(F$3,(X346+($K$3/10000))/2,(X345+($K$3/10000))/2))^(2*W345/365.25)</f>
        <v>0.0030406673227426</v>
      </c>
      <c r="Z345" s="67" t="n">
        <f aca="false">IF(AND(mthbeg&lt;=A345,mthend&gt;=A345),1,0)</f>
        <v>0</v>
      </c>
      <c r="AA345" s="67" t="n">
        <f aca="false">U345*Z345</f>
        <v>0</v>
      </c>
      <c r="AC345" s="110" t="n">
        <f aca="false">F345*(H345-I345)</f>
        <v>0</v>
      </c>
      <c r="AD345" s="49"/>
      <c r="AE345" s="124"/>
    </row>
    <row r="346" customFormat="false" ht="12" hidden="false" customHeight="true" outlineLevel="0" collapsed="false">
      <c r="A346" s="115" t="n">
        <f aca="false">EDATE(A345,1)</f>
        <v>47484</v>
      </c>
      <c r="B346" s="116" t="n">
        <f aca="false">'Inputs-Summary'!$B$7</f>
        <v>3017157.21662952</v>
      </c>
      <c r="C346" s="57"/>
      <c r="D346" s="117" t="n">
        <f aca="false">B346+C346</f>
        <v>3017157.21662952</v>
      </c>
      <c r="E346" s="106" t="n">
        <f aca="false">IF(Z346=0,0,IF(AND(Z346=1,$H$3=1),D346*U346,IF($H$3=2,D346,"N/A")))</f>
        <v>0</v>
      </c>
      <c r="F346" s="106" t="n">
        <f aca="false">E346*Y346</f>
        <v>0</v>
      </c>
      <c r="G346" s="118" t="n">
        <f aca="false">VLOOKUP($A346,Table,MATCH(G$4,Curves,0))</f>
        <v>3</v>
      </c>
      <c r="H346" s="119" t="n">
        <f aca="false">G346+$H$7</f>
        <v>3</v>
      </c>
      <c r="I346" s="118" t="n">
        <f aca="false">'Inputs-Summary'!$B$16</f>
        <v>1.85</v>
      </c>
      <c r="J346" s="118" t="n">
        <f aca="false">VLOOKUP($A346,Table,MATCH(J$4,Curves,0))</f>
        <v>5</v>
      </c>
      <c r="K346" s="119" t="n">
        <f aca="false">J346+$K$7</f>
        <v>5</v>
      </c>
      <c r="L346" s="120" t="n">
        <f aca="false">K346</f>
        <v>5</v>
      </c>
      <c r="M346" s="118" t="n">
        <f aca="false">VLOOKUP($A346,Table,MATCH(M$4,Curves,0))</f>
        <v>5</v>
      </c>
      <c r="N346" s="119" t="n">
        <f aca="false">M346+$N$7</f>
        <v>5</v>
      </c>
      <c r="O346" s="120" t="n">
        <f aca="false">N346</f>
        <v>5</v>
      </c>
      <c r="P346" s="109"/>
      <c r="Q346" s="120" t="n">
        <f aca="false">IF($F$3=1,M346+J346+G346,J346+G346)</f>
        <v>8</v>
      </c>
      <c r="R346" s="120" t="n">
        <f aca="false">IF($F$3=1,N346+K346+H346,K346+H346)</f>
        <v>8</v>
      </c>
      <c r="S346" s="120" t="n">
        <f aca="false">IF($F$3=1,O346+L346+I346,L346+I346)</f>
        <v>6.85</v>
      </c>
      <c r="T346" s="121"/>
      <c r="U346" s="67" t="n">
        <f aca="false">A347-A346</f>
        <v>31</v>
      </c>
      <c r="V346" s="122" t="n">
        <f aca="false">CHOOSE(F$3,A347+24,A346)</f>
        <v>47484</v>
      </c>
      <c r="W346" s="67" t="n">
        <f aca="false">V346-C$3</f>
        <v>1558</v>
      </c>
      <c r="X346" s="118" t="n">
        <f aca="false">VLOOKUP($A346,Table,MATCH(X$4,Curves,0))</f>
        <v>2</v>
      </c>
      <c r="Y346" s="123" t="n">
        <f aca="false">1/(1+CHOOSE(F$3,(X347+($K$3/10000))/2,(X346+($K$3/10000))/2))^(2*W346/365.25)</f>
        <v>0.00270314936583243</v>
      </c>
      <c r="Z346" s="67" t="n">
        <f aca="false">IF(AND(mthbeg&lt;=A346,mthend&gt;=A346),1,0)</f>
        <v>0</v>
      </c>
      <c r="AA346" s="67" t="n">
        <f aca="false">U346*Z346</f>
        <v>0</v>
      </c>
      <c r="AC346" s="110" t="n">
        <f aca="false">F346*(H346-I346)</f>
        <v>0</v>
      </c>
      <c r="AD346" s="49"/>
      <c r="AE346" s="124"/>
    </row>
    <row r="347" customFormat="false" ht="12" hidden="false" customHeight="true" outlineLevel="0" collapsed="false">
      <c r="A347" s="115" t="n">
        <f aca="false">EDATE(A346,1)</f>
        <v>47515</v>
      </c>
      <c r="B347" s="116" t="n">
        <f aca="false">'Inputs-Summary'!$B$7</f>
        <v>3017157.21662952</v>
      </c>
      <c r="C347" s="57"/>
      <c r="D347" s="117" t="n">
        <f aca="false">B347+C347</f>
        <v>3017157.21662952</v>
      </c>
      <c r="E347" s="106" t="n">
        <f aca="false">IF(Z347=0,0,IF(AND(Z347=1,$H$3=1),D347*U347,IF($H$3=2,D347,"N/A")))</f>
        <v>0</v>
      </c>
      <c r="F347" s="106" t="n">
        <f aca="false">E347*Y347</f>
        <v>0</v>
      </c>
      <c r="G347" s="118" t="n">
        <f aca="false">VLOOKUP($A347,Table,MATCH(G$4,Curves,0))</f>
        <v>3</v>
      </c>
      <c r="H347" s="119" t="n">
        <f aca="false">G347+$H$7</f>
        <v>3</v>
      </c>
      <c r="I347" s="118" t="n">
        <f aca="false">'Inputs-Summary'!$B$16</f>
        <v>1.85</v>
      </c>
      <c r="J347" s="118" t="n">
        <f aca="false">VLOOKUP($A347,Table,MATCH(J$4,Curves,0))</f>
        <v>5</v>
      </c>
      <c r="K347" s="119" t="n">
        <f aca="false">J347+$K$7</f>
        <v>5</v>
      </c>
      <c r="L347" s="120" t="n">
        <f aca="false">K347</f>
        <v>5</v>
      </c>
      <c r="M347" s="118" t="n">
        <f aca="false">VLOOKUP($A347,Table,MATCH(M$4,Curves,0))</f>
        <v>5</v>
      </c>
      <c r="N347" s="119" t="n">
        <f aca="false">M347+$N$7</f>
        <v>5</v>
      </c>
      <c r="O347" s="120" t="n">
        <f aca="false">N347</f>
        <v>5</v>
      </c>
      <c r="P347" s="109"/>
      <c r="Q347" s="120" t="n">
        <f aca="false">IF($F$3=1,M347+J347+G347,J347+G347)</f>
        <v>8</v>
      </c>
      <c r="R347" s="120" t="n">
        <f aca="false">IF($F$3=1,N347+K347+H347,K347+H347)</f>
        <v>8</v>
      </c>
      <c r="S347" s="120" t="n">
        <f aca="false">IF($F$3=1,O347+L347+I347,L347+I347)</f>
        <v>6.85</v>
      </c>
      <c r="T347" s="121"/>
      <c r="U347" s="67" t="n">
        <f aca="false">A348-A347</f>
        <v>28</v>
      </c>
      <c r="V347" s="122" t="n">
        <f aca="false">CHOOSE(F$3,A348+24,A347)</f>
        <v>47515</v>
      </c>
      <c r="W347" s="67" t="n">
        <f aca="false">V347-C$3</f>
        <v>1589</v>
      </c>
      <c r="X347" s="118" t="n">
        <f aca="false">VLOOKUP($A347,Table,MATCH(X$4,Curves,0))</f>
        <v>2</v>
      </c>
      <c r="Y347" s="123" t="n">
        <f aca="false">1/(1+CHOOSE(F$3,(X348+($K$3/10000))/2,(X347+($K$3/10000))/2))^(2*W347/365.25)</f>
        <v>0.00240309633327778</v>
      </c>
      <c r="Z347" s="67" t="n">
        <f aca="false">IF(AND(mthbeg&lt;=A347,mthend&gt;=A347),1,0)</f>
        <v>0</v>
      </c>
      <c r="AA347" s="67" t="n">
        <f aca="false">U347*Z347</f>
        <v>0</v>
      </c>
      <c r="AC347" s="110" t="n">
        <f aca="false">F347*(H347-I347)</f>
        <v>0</v>
      </c>
      <c r="AD347" s="49"/>
      <c r="AE347" s="124"/>
    </row>
    <row r="348" customFormat="false" ht="12" hidden="false" customHeight="true" outlineLevel="0" collapsed="false">
      <c r="A348" s="115" t="n">
        <f aca="false">EDATE(A347,1)</f>
        <v>47543</v>
      </c>
      <c r="B348" s="116" t="n">
        <f aca="false">'Inputs-Summary'!$B$7</f>
        <v>3017157.21662952</v>
      </c>
      <c r="C348" s="57"/>
      <c r="D348" s="117" t="n">
        <f aca="false">B348+C348</f>
        <v>3017157.21662952</v>
      </c>
      <c r="E348" s="106" t="n">
        <f aca="false">IF(Z348=0,0,IF(AND(Z348=1,$H$3=1),D348*U348,IF($H$3=2,D348,"N/A")))</f>
        <v>0</v>
      </c>
      <c r="F348" s="106" t="n">
        <f aca="false">E348*Y348</f>
        <v>0</v>
      </c>
      <c r="G348" s="118" t="n">
        <f aca="false">VLOOKUP($A348,Table,MATCH(G$4,Curves,0))</f>
        <v>3</v>
      </c>
      <c r="H348" s="119" t="n">
        <f aca="false">G348+$H$7</f>
        <v>3</v>
      </c>
      <c r="I348" s="118" t="n">
        <f aca="false">'Inputs-Summary'!$B$16</f>
        <v>1.85</v>
      </c>
      <c r="J348" s="118" t="n">
        <f aca="false">VLOOKUP($A348,Table,MATCH(J$4,Curves,0))</f>
        <v>5</v>
      </c>
      <c r="K348" s="119" t="n">
        <f aca="false">J348+$K$7</f>
        <v>5</v>
      </c>
      <c r="L348" s="120" t="n">
        <f aca="false">K348</f>
        <v>5</v>
      </c>
      <c r="M348" s="118" t="n">
        <f aca="false">VLOOKUP($A348,Table,MATCH(M$4,Curves,0))</f>
        <v>5</v>
      </c>
      <c r="N348" s="119" t="n">
        <f aca="false">M348+$N$7</f>
        <v>5</v>
      </c>
      <c r="O348" s="120" t="n">
        <f aca="false">N348</f>
        <v>5</v>
      </c>
      <c r="P348" s="109"/>
      <c r="Q348" s="120" t="n">
        <f aca="false">IF($F$3=1,M348+J348+G348,J348+G348)</f>
        <v>8</v>
      </c>
      <c r="R348" s="120" t="n">
        <f aca="false">IF($F$3=1,N348+K348+H348,K348+H348)</f>
        <v>8</v>
      </c>
      <c r="S348" s="120" t="n">
        <f aca="false">IF($F$3=1,O348+L348+I348,L348+I348)</f>
        <v>6.85</v>
      </c>
      <c r="T348" s="121"/>
      <c r="U348" s="67" t="n">
        <f aca="false">A349-A348</f>
        <v>31</v>
      </c>
      <c r="V348" s="122" t="n">
        <f aca="false">CHOOSE(F$3,A349+24,A348)</f>
        <v>47543</v>
      </c>
      <c r="W348" s="67" t="n">
        <f aca="false">V348-C$3</f>
        <v>1617</v>
      </c>
      <c r="X348" s="118" t="n">
        <f aca="false">VLOOKUP($A348,Table,MATCH(X$4,Curves,0))</f>
        <v>2</v>
      </c>
      <c r="Y348" s="123" t="n">
        <f aca="false">1/(1+CHOOSE(F$3,(X349+($K$3/10000))/2,(X348+($K$3/10000))/2))^(2*W348/365.25)</f>
        <v>0.00216081392033167</v>
      </c>
      <c r="Z348" s="67" t="n">
        <f aca="false">IF(AND(mthbeg&lt;=A348,mthend&gt;=A348),1,0)</f>
        <v>0</v>
      </c>
      <c r="AA348" s="67" t="n">
        <f aca="false">U348*Z348</f>
        <v>0</v>
      </c>
      <c r="AC348" s="110" t="n">
        <f aca="false">F348*(H348-I348)</f>
        <v>0</v>
      </c>
      <c r="AD348" s="49"/>
      <c r="AE348" s="124"/>
    </row>
    <row r="349" customFormat="false" ht="12" hidden="false" customHeight="true" outlineLevel="0" collapsed="false">
      <c r="A349" s="115" t="n">
        <f aca="false">EDATE(A348,1)</f>
        <v>47574</v>
      </c>
      <c r="B349" s="116" t="n">
        <f aca="false">'Inputs-Summary'!$B$7</f>
        <v>3017157.21662952</v>
      </c>
      <c r="C349" s="57"/>
      <c r="D349" s="117" t="n">
        <f aca="false">B349+C349</f>
        <v>3017157.21662952</v>
      </c>
      <c r="E349" s="106" t="n">
        <f aca="false">IF(Z349=0,0,IF(AND(Z349=1,$H$3=1),D349*U349,IF($H$3=2,D349,"N/A")))</f>
        <v>0</v>
      </c>
      <c r="F349" s="106" t="n">
        <f aca="false">E349*Y349</f>
        <v>0</v>
      </c>
      <c r="G349" s="118" t="n">
        <f aca="false">VLOOKUP($A349,Table,MATCH(G$4,Curves,0))</f>
        <v>3</v>
      </c>
      <c r="H349" s="119" t="n">
        <f aca="false">G349+$H$7</f>
        <v>3</v>
      </c>
      <c r="I349" s="118" t="n">
        <f aca="false">'Inputs-Summary'!$B$16</f>
        <v>1.85</v>
      </c>
      <c r="J349" s="118" t="n">
        <f aca="false">VLOOKUP($A349,Table,MATCH(J$4,Curves,0))</f>
        <v>5</v>
      </c>
      <c r="K349" s="119" t="n">
        <f aca="false">J349+$K$7</f>
        <v>5</v>
      </c>
      <c r="L349" s="120" t="n">
        <f aca="false">K349</f>
        <v>5</v>
      </c>
      <c r="M349" s="118" t="n">
        <f aca="false">VLOOKUP($A349,Table,MATCH(M$4,Curves,0))</f>
        <v>5</v>
      </c>
      <c r="N349" s="119" t="n">
        <f aca="false">M349+$N$7</f>
        <v>5</v>
      </c>
      <c r="O349" s="120" t="n">
        <f aca="false">N349</f>
        <v>5</v>
      </c>
      <c r="P349" s="109"/>
      <c r="Q349" s="120" t="n">
        <f aca="false">IF($F$3=1,M349+J349+G349,J349+G349)</f>
        <v>8</v>
      </c>
      <c r="R349" s="120" t="n">
        <f aca="false">IF($F$3=1,N349+K349+H349,K349+H349)</f>
        <v>8</v>
      </c>
      <c r="S349" s="120" t="n">
        <f aca="false">IF($F$3=1,O349+L349+I349,L349+I349)</f>
        <v>6.85</v>
      </c>
      <c r="T349" s="121"/>
      <c r="U349" s="67" t="n">
        <f aca="false">A350-A349</f>
        <v>30</v>
      </c>
      <c r="V349" s="122" t="n">
        <f aca="false">CHOOSE(F$3,A350+24,A349)</f>
        <v>47574</v>
      </c>
      <c r="W349" s="67" t="n">
        <f aca="false">V349-C$3</f>
        <v>1648</v>
      </c>
      <c r="X349" s="118" t="n">
        <f aca="false">VLOOKUP($A349,Table,MATCH(X$4,Curves,0))</f>
        <v>2</v>
      </c>
      <c r="Y349" s="123" t="n">
        <f aca="false">1/(1+CHOOSE(F$3,(X350+($K$3/10000))/2,(X349+($K$3/10000))/2))^(2*W349/365.25)</f>
        <v>0.00192096081499571</v>
      </c>
      <c r="Z349" s="67" t="n">
        <f aca="false">IF(AND(mthbeg&lt;=A349,mthend&gt;=A349),1,0)</f>
        <v>0</v>
      </c>
      <c r="AA349" s="67" t="n">
        <f aca="false">U349*Z349</f>
        <v>0</v>
      </c>
      <c r="AC349" s="110" t="n">
        <f aca="false">F349*(H349-I349)</f>
        <v>0</v>
      </c>
      <c r="AD349" s="49"/>
      <c r="AE349" s="124"/>
    </row>
    <row r="350" customFormat="false" ht="12" hidden="false" customHeight="true" outlineLevel="0" collapsed="false">
      <c r="A350" s="115" t="n">
        <f aca="false">EDATE(A349,1)</f>
        <v>47604</v>
      </c>
      <c r="B350" s="116" t="n">
        <f aca="false">'Inputs-Summary'!$B$7</f>
        <v>3017157.21662952</v>
      </c>
      <c r="C350" s="57"/>
      <c r="D350" s="117" t="n">
        <f aca="false">B350+C350</f>
        <v>3017157.21662952</v>
      </c>
      <c r="E350" s="106" t="n">
        <f aca="false">IF(Z350=0,0,IF(AND(Z350=1,$H$3=1),D350*U350,IF($H$3=2,D350,"N/A")))</f>
        <v>0</v>
      </c>
      <c r="F350" s="106" t="n">
        <f aca="false">E350*Y350</f>
        <v>0</v>
      </c>
      <c r="G350" s="118" t="n">
        <f aca="false">VLOOKUP($A350,Table,MATCH(G$4,Curves,0))</f>
        <v>3</v>
      </c>
      <c r="H350" s="119" t="n">
        <f aca="false">G350+$H$7</f>
        <v>3</v>
      </c>
      <c r="I350" s="118" t="n">
        <f aca="false">'Inputs-Summary'!$B$16</f>
        <v>1.85</v>
      </c>
      <c r="J350" s="118" t="n">
        <f aca="false">VLOOKUP($A350,Table,MATCH(J$4,Curves,0))</f>
        <v>5</v>
      </c>
      <c r="K350" s="119" t="n">
        <f aca="false">J350+$K$7</f>
        <v>5</v>
      </c>
      <c r="L350" s="120" t="n">
        <f aca="false">K350</f>
        <v>5</v>
      </c>
      <c r="M350" s="118" t="n">
        <f aca="false">VLOOKUP($A350,Table,MATCH(M$4,Curves,0))</f>
        <v>5</v>
      </c>
      <c r="N350" s="119" t="n">
        <f aca="false">M350+$N$7</f>
        <v>5</v>
      </c>
      <c r="O350" s="120" t="n">
        <f aca="false">N350</f>
        <v>5</v>
      </c>
      <c r="P350" s="109"/>
      <c r="Q350" s="120" t="n">
        <f aca="false">IF($F$3=1,M350+J350+G350,J350+G350)</f>
        <v>8</v>
      </c>
      <c r="R350" s="120" t="n">
        <f aca="false">IF($F$3=1,N350+K350+H350,K350+H350)</f>
        <v>8</v>
      </c>
      <c r="S350" s="120" t="n">
        <f aca="false">IF($F$3=1,O350+L350+I350,L350+I350)</f>
        <v>6.85</v>
      </c>
      <c r="T350" s="121"/>
      <c r="U350" s="67" t="n">
        <f aca="false">A351-A350</f>
        <v>31</v>
      </c>
      <c r="V350" s="122" t="n">
        <f aca="false">CHOOSE(F$3,A351+24,A350)</f>
        <v>47604</v>
      </c>
      <c r="W350" s="67" t="n">
        <f aca="false">V350-C$3</f>
        <v>1678</v>
      </c>
      <c r="X350" s="118" t="n">
        <f aca="false">VLOOKUP($A350,Table,MATCH(X$4,Curves,0))</f>
        <v>2</v>
      </c>
      <c r="Y350" s="123" t="n">
        <f aca="false">1/(1+CHOOSE(F$3,(X351+($K$3/10000))/2,(X350+($K$3/10000))/2))^(2*W350/365.25)</f>
        <v>0.00171422566627405</v>
      </c>
      <c r="Z350" s="67" t="n">
        <f aca="false">IF(AND(mthbeg&lt;=A350,mthend&gt;=A350),1,0)</f>
        <v>0</v>
      </c>
      <c r="AA350" s="67" t="n">
        <f aca="false">U350*Z350</f>
        <v>0</v>
      </c>
      <c r="AC350" s="110" t="n">
        <f aca="false">F350*(H350-I350)</f>
        <v>0</v>
      </c>
      <c r="AD350" s="49"/>
      <c r="AE350" s="124"/>
    </row>
    <row r="351" customFormat="false" ht="12" hidden="false" customHeight="true" outlineLevel="0" collapsed="false">
      <c r="A351" s="115" t="n">
        <f aca="false">EDATE(A350,1)</f>
        <v>47635</v>
      </c>
      <c r="B351" s="116" t="n">
        <f aca="false">'Inputs-Summary'!$B$7</f>
        <v>3017157.21662952</v>
      </c>
      <c r="C351" s="57"/>
      <c r="D351" s="117" t="n">
        <f aca="false">B351+C351</f>
        <v>3017157.21662952</v>
      </c>
      <c r="E351" s="106" t="n">
        <f aca="false">IF(Z351=0,0,IF(AND(Z351=1,$H$3=1),D351*U351,IF($H$3=2,D351,"N/A")))</f>
        <v>0</v>
      </c>
      <c r="F351" s="106" t="n">
        <f aca="false">E351*Y351</f>
        <v>0</v>
      </c>
      <c r="G351" s="118" t="n">
        <f aca="false">VLOOKUP($A351,Table,MATCH(G$4,Curves,0))</f>
        <v>3</v>
      </c>
      <c r="H351" s="119" t="n">
        <f aca="false">G351+$H$7</f>
        <v>3</v>
      </c>
      <c r="I351" s="118" t="n">
        <f aca="false">'Inputs-Summary'!$B$16</f>
        <v>1.85</v>
      </c>
      <c r="J351" s="118" t="n">
        <f aca="false">VLOOKUP($A351,Table,MATCH(J$4,Curves,0))</f>
        <v>5</v>
      </c>
      <c r="K351" s="119" t="n">
        <f aca="false">J351+$K$7</f>
        <v>5</v>
      </c>
      <c r="L351" s="120" t="n">
        <f aca="false">K351</f>
        <v>5</v>
      </c>
      <c r="M351" s="118" t="n">
        <f aca="false">VLOOKUP($A351,Table,MATCH(M$4,Curves,0))</f>
        <v>5</v>
      </c>
      <c r="N351" s="119" t="n">
        <f aca="false">M351+$N$7</f>
        <v>5</v>
      </c>
      <c r="O351" s="120" t="n">
        <f aca="false">N351</f>
        <v>5</v>
      </c>
      <c r="P351" s="109"/>
      <c r="Q351" s="120" t="n">
        <f aca="false">IF($F$3=1,M351+J351+G351,J351+G351)</f>
        <v>8</v>
      </c>
      <c r="R351" s="120" t="n">
        <f aca="false">IF($F$3=1,N351+K351+H351,K351+H351)</f>
        <v>8</v>
      </c>
      <c r="S351" s="120" t="n">
        <f aca="false">IF($F$3=1,O351+L351+I351,L351+I351)</f>
        <v>6.85</v>
      </c>
      <c r="T351" s="121"/>
      <c r="U351" s="67" t="n">
        <f aca="false">A352-A351</f>
        <v>30</v>
      </c>
      <c r="V351" s="122" t="n">
        <f aca="false">CHOOSE(F$3,A352+24,A351)</f>
        <v>47635</v>
      </c>
      <c r="W351" s="67" t="n">
        <f aca="false">V351-C$3</f>
        <v>1709</v>
      </c>
      <c r="X351" s="118" t="n">
        <f aca="false">VLOOKUP($A351,Table,MATCH(X$4,Curves,0))</f>
        <v>2</v>
      </c>
      <c r="Y351" s="123" t="n">
        <f aca="false">1/(1+CHOOSE(F$3,(X352+($K$3/10000))/2,(X351+($K$3/10000))/2))^(2*W351/365.25)</f>
        <v>0.00152394442760111</v>
      </c>
      <c r="Z351" s="67" t="n">
        <f aca="false">IF(AND(mthbeg&lt;=A351,mthend&gt;=A351),1,0)</f>
        <v>0</v>
      </c>
      <c r="AA351" s="67" t="n">
        <f aca="false">U351*Z351</f>
        <v>0</v>
      </c>
      <c r="AC351" s="110" t="n">
        <f aca="false">F351*(H351-I351)</f>
        <v>0</v>
      </c>
      <c r="AD351" s="49"/>
      <c r="AE351" s="124"/>
    </row>
    <row r="352" customFormat="false" ht="12" hidden="false" customHeight="true" outlineLevel="0" collapsed="false">
      <c r="A352" s="115" t="n">
        <f aca="false">EDATE(A351,1)</f>
        <v>47665</v>
      </c>
      <c r="B352" s="116" t="n">
        <f aca="false">'Inputs-Summary'!$B$7</f>
        <v>3017157.21662952</v>
      </c>
      <c r="C352" s="57"/>
      <c r="D352" s="117" t="n">
        <f aca="false">B352+C352</f>
        <v>3017157.21662952</v>
      </c>
      <c r="E352" s="106" t="n">
        <f aca="false">IF(Z352=0,0,IF(AND(Z352=1,$H$3=1),D352*U352,IF($H$3=2,D352,"N/A")))</f>
        <v>0</v>
      </c>
      <c r="F352" s="106" t="n">
        <f aca="false">E352*Y352</f>
        <v>0</v>
      </c>
      <c r="G352" s="118" t="n">
        <f aca="false">VLOOKUP($A352,Table,MATCH(G$4,Curves,0))</f>
        <v>3</v>
      </c>
      <c r="H352" s="119" t="n">
        <f aca="false">G352+$H$7</f>
        <v>3</v>
      </c>
      <c r="I352" s="118" t="n">
        <f aca="false">'Inputs-Summary'!$B$16</f>
        <v>1.85</v>
      </c>
      <c r="J352" s="118" t="n">
        <f aca="false">VLOOKUP($A352,Table,MATCH(J$4,Curves,0))</f>
        <v>5</v>
      </c>
      <c r="K352" s="119" t="n">
        <f aca="false">J352+$K$7</f>
        <v>5</v>
      </c>
      <c r="L352" s="120" t="n">
        <f aca="false">K352</f>
        <v>5</v>
      </c>
      <c r="M352" s="118" t="n">
        <f aca="false">VLOOKUP($A352,Table,MATCH(M$4,Curves,0))</f>
        <v>5</v>
      </c>
      <c r="N352" s="119" t="n">
        <f aca="false">M352+$N$7</f>
        <v>5</v>
      </c>
      <c r="O352" s="120" t="n">
        <f aca="false">N352</f>
        <v>5</v>
      </c>
      <c r="P352" s="109"/>
      <c r="Q352" s="120" t="n">
        <f aca="false">IF($F$3=1,M352+J352+G352,J352+G352)</f>
        <v>8</v>
      </c>
      <c r="R352" s="120" t="n">
        <f aca="false">IF($F$3=1,N352+K352+H352,K352+H352)</f>
        <v>8</v>
      </c>
      <c r="S352" s="120" t="n">
        <f aca="false">IF($F$3=1,O352+L352+I352,L352+I352)</f>
        <v>6.85</v>
      </c>
      <c r="T352" s="121"/>
      <c r="U352" s="67" t="n">
        <f aca="false">A353-A352</f>
        <v>31</v>
      </c>
      <c r="V352" s="122" t="n">
        <f aca="false">CHOOSE(F$3,A353+24,A352)</f>
        <v>47665</v>
      </c>
      <c r="W352" s="67" t="n">
        <f aca="false">V352-C$3</f>
        <v>1739</v>
      </c>
      <c r="X352" s="118" t="n">
        <f aca="false">VLOOKUP($A352,Table,MATCH(X$4,Curves,0))</f>
        <v>2</v>
      </c>
      <c r="Y352" s="123" t="n">
        <f aca="false">1/(1+CHOOSE(F$3,(X353+($K$3/10000))/2,(X352+($K$3/10000))/2))^(2*W352/365.25)</f>
        <v>0.00135993646063778</v>
      </c>
      <c r="Z352" s="67" t="n">
        <f aca="false">IF(AND(mthbeg&lt;=A352,mthend&gt;=A352),1,0)</f>
        <v>0</v>
      </c>
      <c r="AA352" s="67" t="n">
        <f aca="false">U352*Z352</f>
        <v>0</v>
      </c>
      <c r="AC352" s="110" t="n">
        <f aca="false">F352*(H352-I352)</f>
        <v>0</v>
      </c>
      <c r="AD352" s="49"/>
      <c r="AE352" s="124"/>
    </row>
    <row r="353" customFormat="false" ht="12" hidden="false" customHeight="true" outlineLevel="0" collapsed="false">
      <c r="A353" s="115" t="n">
        <f aca="false">EDATE(A352,1)</f>
        <v>47696</v>
      </c>
      <c r="B353" s="116" t="n">
        <f aca="false">'Inputs-Summary'!$B$7</f>
        <v>3017157.21662952</v>
      </c>
      <c r="C353" s="57"/>
      <c r="D353" s="117" t="n">
        <f aca="false">B353+C353</f>
        <v>3017157.21662952</v>
      </c>
      <c r="E353" s="106" t="n">
        <f aca="false">IF(Z353=0,0,IF(AND(Z353=1,$H$3=1),D353*U353,IF($H$3=2,D353,"N/A")))</f>
        <v>0</v>
      </c>
      <c r="F353" s="106" t="n">
        <f aca="false">E353*Y353</f>
        <v>0</v>
      </c>
      <c r="G353" s="118" t="n">
        <f aca="false">VLOOKUP($A353,Table,MATCH(G$4,Curves,0))</f>
        <v>3</v>
      </c>
      <c r="H353" s="119" t="n">
        <f aca="false">G353+$H$7</f>
        <v>3</v>
      </c>
      <c r="I353" s="118" t="n">
        <f aca="false">'Inputs-Summary'!$B$16</f>
        <v>1.85</v>
      </c>
      <c r="J353" s="118" t="n">
        <f aca="false">VLOOKUP($A353,Table,MATCH(J$4,Curves,0))</f>
        <v>5</v>
      </c>
      <c r="K353" s="119" t="n">
        <f aca="false">J353+$K$7</f>
        <v>5</v>
      </c>
      <c r="L353" s="120" t="n">
        <f aca="false">K353</f>
        <v>5</v>
      </c>
      <c r="M353" s="118" t="n">
        <f aca="false">VLOOKUP($A353,Table,MATCH(M$4,Curves,0))</f>
        <v>5</v>
      </c>
      <c r="N353" s="119" t="n">
        <f aca="false">M353+$N$7</f>
        <v>5</v>
      </c>
      <c r="O353" s="120" t="n">
        <f aca="false">N353</f>
        <v>5</v>
      </c>
      <c r="P353" s="109"/>
      <c r="Q353" s="120" t="n">
        <f aca="false">IF($F$3=1,M353+J353+G353,J353+G353)</f>
        <v>8</v>
      </c>
      <c r="R353" s="120" t="n">
        <f aca="false">IF($F$3=1,N353+K353+H353,K353+H353)</f>
        <v>8</v>
      </c>
      <c r="S353" s="120" t="n">
        <f aca="false">IF($F$3=1,O353+L353+I353,L353+I353)</f>
        <v>6.85</v>
      </c>
      <c r="T353" s="121"/>
      <c r="U353" s="67" t="n">
        <f aca="false">A354-A353</f>
        <v>31</v>
      </c>
      <c r="V353" s="122" t="n">
        <f aca="false">CHOOSE(F$3,A354+24,A353)</f>
        <v>47696</v>
      </c>
      <c r="W353" s="67" t="n">
        <f aca="false">V353-C$3</f>
        <v>1770</v>
      </c>
      <c r="X353" s="118" t="n">
        <f aca="false">VLOOKUP($A353,Table,MATCH(X$4,Curves,0))</f>
        <v>2</v>
      </c>
      <c r="Y353" s="123" t="n">
        <f aca="false">1/(1+CHOOSE(F$3,(X354+($K$3/10000))/2,(X353+($K$3/10000))/2))^(2*W353/365.25)</f>
        <v>0.0012089817763522</v>
      </c>
      <c r="Z353" s="67" t="n">
        <f aca="false">IF(AND(mthbeg&lt;=A353,mthend&gt;=A353),1,0)</f>
        <v>0</v>
      </c>
      <c r="AA353" s="67" t="n">
        <f aca="false">U353*Z353</f>
        <v>0</v>
      </c>
      <c r="AC353" s="110" t="n">
        <f aca="false">F353*(H353-I353)</f>
        <v>0</v>
      </c>
      <c r="AD353" s="49"/>
      <c r="AE353" s="124"/>
    </row>
    <row r="354" customFormat="false" ht="12" hidden="false" customHeight="true" outlineLevel="0" collapsed="false">
      <c r="A354" s="115" t="n">
        <f aca="false">EDATE(A353,1)</f>
        <v>47727</v>
      </c>
      <c r="B354" s="116" t="n">
        <f aca="false">'Inputs-Summary'!$B$7</f>
        <v>3017157.21662952</v>
      </c>
      <c r="C354" s="57"/>
      <c r="D354" s="117" t="n">
        <f aca="false">B354+C354</f>
        <v>3017157.21662952</v>
      </c>
      <c r="E354" s="106" t="n">
        <f aca="false">IF(Z354=0,0,IF(AND(Z354=1,$H$3=1),D354*U354,IF($H$3=2,D354,"N/A")))</f>
        <v>0</v>
      </c>
      <c r="F354" s="106" t="n">
        <f aca="false">E354*Y354</f>
        <v>0</v>
      </c>
      <c r="G354" s="118" t="n">
        <f aca="false">VLOOKUP($A354,Table,MATCH(G$4,Curves,0))</f>
        <v>3</v>
      </c>
      <c r="H354" s="119" t="n">
        <f aca="false">G354+$H$7</f>
        <v>3</v>
      </c>
      <c r="I354" s="118" t="n">
        <f aca="false">'Inputs-Summary'!$B$16</f>
        <v>1.85</v>
      </c>
      <c r="J354" s="118" t="n">
        <f aca="false">VLOOKUP($A354,Table,MATCH(J$4,Curves,0))</f>
        <v>5</v>
      </c>
      <c r="K354" s="119" t="n">
        <f aca="false">J354+$K$7</f>
        <v>5</v>
      </c>
      <c r="L354" s="120" t="n">
        <f aca="false">K354</f>
        <v>5</v>
      </c>
      <c r="M354" s="118" t="n">
        <f aca="false">VLOOKUP($A354,Table,MATCH(M$4,Curves,0))</f>
        <v>5</v>
      </c>
      <c r="N354" s="119" t="n">
        <f aca="false">M354+$N$7</f>
        <v>5</v>
      </c>
      <c r="O354" s="120" t="n">
        <f aca="false">N354</f>
        <v>5</v>
      </c>
      <c r="P354" s="109"/>
      <c r="Q354" s="120" t="n">
        <f aca="false">IF($F$3=1,M354+J354+G354,J354+G354)</f>
        <v>8</v>
      </c>
      <c r="R354" s="120" t="n">
        <f aca="false">IF($F$3=1,N354+K354+H354,K354+H354)</f>
        <v>8</v>
      </c>
      <c r="S354" s="120" t="n">
        <f aca="false">IF($F$3=1,O354+L354+I354,L354+I354)</f>
        <v>6.85</v>
      </c>
      <c r="T354" s="121"/>
      <c r="U354" s="67" t="n">
        <f aca="false">A355-A354</f>
        <v>30</v>
      </c>
      <c r="V354" s="122" t="n">
        <f aca="false">CHOOSE(F$3,A355+24,A354)</f>
        <v>47727</v>
      </c>
      <c r="W354" s="67" t="n">
        <f aca="false">V354-C$3</f>
        <v>1801</v>
      </c>
      <c r="X354" s="118" t="n">
        <f aca="false">VLOOKUP($A354,Table,MATCH(X$4,Curves,0))</f>
        <v>2</v>
      </c>
      <c r="Y354" s="123" t="n">
        <f aca="false">1/(1+CHOOSE(F$3,(X355+($K$3/10000))/2,(X354+($K$3/10000))/2))^(2*W354/365.25)</f>
        <v>0.00107478325484872</v>
      </c>
      <c r="Z354" s="67" t="n">
        <f aca="false">IF(AND(mthbeg&lt;=A354,mthend&gt;=A354),1,0)</f>
        <v>0</v>
      </c>
      <c r="AA354" s="67" t="n">
        <f aca="false">U354*Z354</f>
        <v>0</v>
      </c>
      <c r="AC354" s="110" t="n">
        <f aca="false">F354*(H354-I354)</f>
        <v>0</v>
      </c>
      <c r="AD354" s="49"/>
      <c r="AE354" s="124"/>
    </row>
    <row r="355" customFormat="false" ht="12" hidden="false" customHeight="true" outlineLevel="0" collapsed="false">
      <c r="A355" s="115" t="n">
        <f aca="false">EDATE(A354,1)</f>
        <v>47757</v>
      </c>
      <c r="B355" s="116" t="n">
        <f aca="false">'Inputs-Summary'!$B$7</f>
        <v>3017157.21662952</v>
      </c>
      <c r="C355" s="57"/>
      <c r="D355" s="117" t="n">
        <f aca="false">B355+C355</f>
        <v>3017157.21662952</v>
      </c>
      <c r="E355" s="106" t="n">
        <f aca="false">IF(Z355=0,0,IF(AND(Z355=1,$H$3=1),D355*U355,IF($H$3=2,D355,"N/A")))</f>
        <v>0</v>
      </c>
      <c r="F355" s="106" t="n">
        <f aca="false">E355*Y355</f>
        <v>0</v>
      </c>
      <c r="G355" s="118" t="n">
        <f aca="false">VLOOKUP($A355,Table,MATCH(G$4,Curves,0))</f>
        <v>3</v>
      </c>
      <c r="H355" s="119" t="n">
        <f aca="false">G355+$H$7</f>
        <v>3</v>
      </c>
      <c r="I355" s="118" t="n">
        <f aca="false">'Inputs-Summary'!$B$16</f>
        <v>1.85</v>
      </c>
      <c r="J355" s="118" t="n">
        <f aca="false">VLOOKUP($A355,Table,MATCH(J$4,Curves,0))</f>
        <v>5</v>
      </c>
      <c r="K355" s="119" t="n">
        <f aca="false">J355+$K$7</f>
        <v>5</v>
      </c>
      <c r="L355" s="120" t="n">
        <f aca="false">K355</f>
        <v>5</v>
      </c>
      <c r="M355" s="118" t="n">
        <f aca="false">VLOOKUP($A355,Table,MATCH(M$4,Curves,0))</f>
        <v>5</v>
      </c>
      <c r="N355" s="119" t="n">
        <f aca="false">M355+$N$7</f>
        <v>5</v>
      </c>
      <c r="O355" s="120" t="n">
        <f aca="false">N355</f>
        <v>5</v>
      </c>
      <c r="P355" s="109"/>
      <c r="Q355" s="120" t="n">
        <f aca="false">IF($F$3=1,M355+J355+G355,J355+G355)</f>
        <v>8</v>
      </c>
      <c r="R355" s="120" t="n">
        <f aca="false">IF($F$3=1,N355+K355+H355,K355+H355)</f>
        <v>8</v>
      </c>
      <c r="S355" s="120" t="n">
        <f aca="false">IF($F$3=1,O355+L355+I355,L355+I355)</f>
        <v>6.85</v>
      </c>
      <c r="T355" s="121"/>
      <c r="U355" s="67" t="n">
        <f aca="false">A356-A355</f>
        <v>31</v>
      </c>
      <c r="V355" s="122" t="n">
        <f aca="false">CHOOSE(F$3,A356+24,A355)</f>
        <v>47757</v>
      </c>
      <c r="W355" s="67" t="n">
        <f aca="false">V355-C$3</f>
        <v>1831</v>
      </c>
      <c r="X355" s="118" t="n">
        <f aca="false">VLOOKUP($A355,Table,MATCH(X$4,Curves,0))</f>
        <v>2</v>
      </c>
      <c r="Y355" s="123" t="n">
        <f aca="false">1/(1+CHOOSE(F$3,(X356+($K$3/10000))/2,(X355+($K$3/10000))/2))^(2*W355/365.25)</f>
        <v>0.000959114327976201</v>
      </c>
      <c r="Z355" s="67" t="n">
        <f aca="false">IF(AND(mthbeg&lt;=A355,mthend&gt;=A355),1,0)</f>
        <v>0</v>
      </c>
      <c r="AA355" s="67" t="n">
        <f aca="false">U355*Z355</f>
        <v>0</v>
      </c>
      <c r="AC355" s="110" t="n">
        <f aca="false">F355*(H355-I355)</f>
        <v>0</v>
      </c>
      <c r="AD355" s="49"/>
      <c r="AE355" s="124"/>
    </row>
    <row r="356" customFormat="false" ht="12" hidden="false" customHeight="true" outlineLevel="0" collapsed="false">
      <c r="A356" s="115" t="n">
        <f aca="false">EDATE(A355,1)</f>
        <v>47788</v>
      </c>
      <c r="B356" s="116" t="n">
        <f aca="false">'Inputs-Summary'!$B$7</f>
        <v>3017157.21662952</v>
      </c>
      <c r="C356" s="57"/>
      <c r="D356" s="117" t="n">
        <f aca="false">B356+C356</f>
        <v>3017157.21662952</v>
      </c>
      <c r="E356" s="106" t="n">
        <f aca="false">IF(Z356=0,0,IF(AND(Z356=1,$H$3=1),D356*U356,IF($H$3=2,D356,"N/A")))</f>
        <v>0</v>
      </c>
      <c r="F356" s="106" t="n">
        <f aca="false">E356*Y356</f>
        <v>0</v>
      </c>
      <c r="G356" s="118" t="n">
        <f aca="false">VLOOKUP($A356,Table,MATCH(G$4,Curves,0))</f>
        <v>3</v>
      </c>
      <c r="H356" s="119" t="n">
        <f aca="false">G356+$H$7</f>
        <v>3</v>
      </c>
      <c r="I356" s="118" t="n">
        <f aca="false">'Inputs-Summary'!$B$16</f>
        <v>1.85</v>
      </c>
      <c r="J356" s="118" t="n">
        <f aca="false">VLOOKUP($A356,Table,MATCH(J$4,Curves,0))</f>
        <v>5</v>
      </c>
      <c r="K356" s="119" t="n">
        <f aca="false">J356+$K$7</f>
        <v>5</v>
      </c>
      <c r="L356" s="120" t="n">
        <f aca="false">K356</f>
        <v>5</v>
      </c>
      <c r="M356" s="118" t="n">
        <f aca="false">VLOOKUP($A356,Table,MATCH(M$4,Curves,0))</f>
        <v>5</v>
      </c>
      <c r="N356" s="119" t="n">
        <f aca="false">M356+$N$7</f>
        <v>5</v>
      </c>
      <c r="O356" s="120" t="n">
        <f aca="false">N356</f>
        <v>5</v>
      </c>
      <c r="P356" s="109"/>
      <c r="Q356" s="120" t="n">
        <f aca="false">IF($F$3=1,M356+J356+G356,J356+G356)</f>
        <v>8</v>
      </c>
      <c r="R356" s="120" t="n">
        <f aca="false">IF($F$3=1,N356+K356+H356,K356+H356)</f>
        <v>8</v>
      </c>
      <c r="S356" s="120" t="n">
        <f aca="false">IF($F$3=1,O356+L356+I356,L356+I356)</f>
        <v>6.85</v>
      </c>
      <c r="T356" s="121"/>
      <c r="U356" s="67" t="n">
        <f aca="false">A357-A356</f>
        <v>30</v>
      </c>
      <c r="V356" s="122" t="n">
        <f aca="false">CHOOSE(F$3,A357+24,A356)</f>
        <v>47788</v>
      </c>
      <c r="W356" s="67" t="n">
        <f aca="false">V356-C$3</f>
        <v>1862</v>
      </c>
      <c r="X356" s="118" t="n">
        <f aca="false">VLOOKUP($A356,Table,MATCH(X$4,Curves,0))</f>
        <v>2</v>
      </c>
      <c r="Y356" s="123" t="n">
        <f aca="false">1/(1+CHOOSE(F$3,(X357+($K$3/10000))/2,(X356+($K$3/10000))/2))^(2*W356/365.25)</f>
        <v>0.00085265141241798</v>
      </c>
      <c r="Z356" s="67" t="n">
        <f aca="false">IF(AND(mthbeg&lt;=A356,mthend&gt;=A356),1,0)</f>
        <v>0</v>
      </c>
      <c r="AA356" s="67" t="n">
        <f aca="false">U356*Z356</f>
        <v>0</v>
      </c>
      <c r="AC356" s="110" t="n">
        <f aca="false">F356*(H356-I356)</f>
        <v>0</v>
      </c>
      <c r="AD356" s="49"/>
      <c r="AE356" s="124"/>
    </row>
    <row r="357" customFormat="false" ht="12" hidden="false" customHeight="true" outlineLevel="0" collapsed="false">
      <c r="A357" s="115" t="n">
        <f aca="false">EDATE(A356,1)</f>
        <v>47818</v>
      </c>
      <c r="B357" s="116" t="n">
        <f aca="false">'Inputs-Summary'!$B$7</f>
        <v>3017157.21662952</v>
      </c>
      <c r="C357" s="57"/>
      <c r="D357" s="117" t="n">
        <f aca="false">B357+C357</f>
        <v>3017157.21662952</v>
      </c>
      <c r="E357" s="106" t="n">
        <f aca="false">IF(Z357=0,0,IF(AND(Z357=1,$H$3=1),D357*U357,IF($H$3=2,D357,"N/A")))</f>
        <v>0</v>
      </c>
      <c r="F357" s="106" t="n">
        <f aca="false">E357*Y357</f>
        <v>0</v>
      </c>
      <c r="G357" s="118" t="n">
        <f aca="false">VLOOKUP($A357,Table,MATCH(G$4,Curves,0))</f>
        <v>3</v>
      </c>
      <c r="H357" s="119" t="n">
        <f aca="false">G357+$H$7</f>
        <v>3</v>
      </c>
      <c r="I357" s="118" t="n">
        <f aca="false">'Inputs-Summary'!$B$16</f>
        <v>1.85</v>
      </c>
      <c r="J357" s="118" t="n">
        <f aca="false">VLOOKUP($A357,Table,MATCH(J$4,Curves,0))</f>
        <v>5</v>
      </c>
      <c r="K357" s="119" t="n">
        <f aca="false">J357+$K$7</f>
        <v>5</v>
      </c>
      <c r="L357" s="120" t="n">
        <f aca="false">K357</f>
        <v>5</v>
      </c>
      <c r="M357" s="118" t="n">
        <f aca="false">VLOOKUP($A357,Table,MATCH(M$4,Curves,0))</f>
        <v>5</v>
      </c>
      <c r="N357" s="119" t="n">
        <f aca="false">M357+$N$7</f>
        <v>5</v>
      </c>
      <c r="O357" s="120" t="n">
        <f aca="false">N357</f>
        <v>5</v>
      </c>
      <c r="P357" s="109"/>
      <c r="Q357" s="120" t="n">
        <f aca="false">IF($F$3=1,M357+J357+G357,J357+G357)</f>
        <v>8</v>
      </c>
      <c r="R357" s="120" t="n">
        <f aca="false">IF($F$3=1,N357+K357+H357,K357+H357)</f>
        <v>8</v>
      </c>
      <c r="S357" s="120" t="n">
        <f aca="false">IF($F$3=1,O357+L357+I357,L357+I357)</f>
        <v>6.85</v>
      </c>
      <c r="T357" s="121"/>
      <c r="U357" s="67" t="n">
        <f aca="false">A358-A357</f>
        <v>31</v>
      </c>
      <c r="V357" s="122" t="n">
        <f aca="false">CHOOSE(F$3,A358+24,A357)</f>
        <v>47818</v>
      </c>
      <c r="W357" s="67" t="n">
        <f aca="false">V357-C$3</f>
        <v>1892</v>
      </c>
      <c r="X357" s="118" t="n">
        <f aca="false">VLOOKUP($A357,Table,MATCH(X$4,Curves,0))</f>
        <v>2</v>
      </c>
      <c r="Y357" s="123" t="n">
        <f aca="false">1/(1+CHOOSE(F$3,(X358+($K$3/10000))/2,(X357+($K$3/10000))/2))^(2*W357/365.25)</f>
        <v>0.00076088847005189</v>
      </c>
      <c r="Z357" s="67" t="n">
        <f aca="false">IF(AND(mthbeg&lt;=A357,mthend&gt;=A357),1,0)</f>
        <v>0</v>
      </c>
      <c r="AA357" s="67" t="n">
        <f aca="false">U357*Z357</f>
        <v>0</v>
      </c>
      <c r="AC357" s="110" t="n">
        <f aca="false">F357*(H357-I357)</f>
        <v>0</v>
      </c>
      <c r="AD357" s="49"/>
      <c r="AE357" s="124"/>
    </row>
    <row r="358" customFormat="false" ht="12" hidden="false" customHeight="true" outlineLevel="0" collapsed="false">
      <c r="A358" s="115" t="n">
        <f aca="false">EDATE(A357,1)</f>
        <v>47849</v>
      </c>
      <c r="B358" s="116" t="n">
        <f aca="false">'Inputs-Summary'!$B$7</f>
        <v>3017157.21662952</v>
      </c>
      <c r="C358" s="57"/>
      <c r="D358" s="117" t="n">
        <f aca="false">B358+C358</f>
        <v>3017157.21662952</v>
      </c>
      <c r="E358" s="106" t="n">
        <f aca="false">IF(Z358=0,0,IF(AND(Z358=1,$H$3=1),D358*U358,IF($H$3=2,D358,"N/A")))</f>
        <v>0</v>
      </c>
      <c r="F358" s="106" t="n">
        <f aca="false">E358*Y358</f>
        <v>0</v>
      </c>
      <c r="G358" s="118" t="n">
        <f aca="false">VLOOKUP($A358,Table,MATCH(G$4,Curves,0))</f>
        <v>3</v>
      </c>
      <c r="H358" s="119" t="n">
        <f aca="false">G358+$H$7</f>
        <v>3</v>
      </c>
      <c r="I358" s="118" t="n">
        <f aca="false">'Inputs-Summary'!$B$16</f>
        <v>1.85</v>
      </c>
      <c r="J358" s="118" t="n">
        <f aca="false">VLOOKUP($A358,Table,MATCH(J$4,Curves,0))</f>
        <v>5</v>
      </c>
      <c r="K358" s="119" t="n">
        <f aca="false">J358+$K$7</f>
        <v>5</v>
      </c>
      <c r="L358" s="120" t="n">
        <f aca="false">K358</f>
        <v>5</v>
      </c>
      <c r="M358" s="118" t="n">
        <f aca="false">VLOOKUP($A358,Table,MATCH(M$4,Curves,0))</f>
        <v>5</v>
      </c>
      <c r="N358" s="119" t="n">
        <f aca="false">M358+$N$7</f>
        <v>5</v>
      </c>
      <c r="O358" s="120" t="n">
        <f aca="false">N358</f>
        <v>5</v>
      </c>
      <c r="P358" s="109"/>
      <c r="Q358" s="120" t="n">
        <f aca="false">IF($F$3=1,M358+J358+G358,J358+G358)</f>
        <v>8</v>
      </c>
      <c r="R358" s="120" t="n">
        <f aca="false">IF($F$3=1,N358+K358+H358,K358+H358)</f>
        <v>8</v>
      </c>
      <c r="S358" s="120" t="n">
        <f aca="false">IF($F$3=1,O358+L358+I358,L358+I358)</f>
        <v>6.85</v>
      </c>
      <c r="T358" s="121"/>
      <c r="U358" s="67" t="n">
        <f aca="false">A359-A358</f>
        <v>31</v>
      </c>
      <c r="V358" s="122" t="n">
        <f aca="false">CHOOSE(F$3,A359+24,A358)</f>
        <v>47849</v>
      </c>
      <c r="W358" s="67" t="n">
        <f aca="false">V358-C$3</f>
        <v>1923</v>
      </c>
      <c r="X358" s="118" t="n">
        <f aca="false">VLOOKUP($A358,Table,MATCH(X$4,Curves,0))</f>
        <v>2</v>
      </c>
      <c r="Y358" s="123" t="n">
        <f aca="false">1/(1+CHOOSE(F$3,(X359+($K$3/10000))/2,(X358+($K$3/10000))/2))^(2*W358/365.25)</f>
        <v>0.00067642887793289</v>
      </c>
      <c r="Z358" s="67" t="n">
        <f aca="false">IF(AND(mthbeg&lt;=A358,mthend&gt;=A358),1,0)</f>
        <v>0</v>
      </c>
      <c r="AA358" s="67" t="n">
        <f aca="false">U358*Z358</f>
        <v>0</v>
      </c>
      <c r="AC358" s="110" t="n">
        <f aca="false">F358*(H358-I358)</f>
        <v>0</v>
      </c>
      <c r="AD358" s="49"/>
      <c r="AE358" s="124"/>
    </row>
    <row r="359" customFormat="false" ht="12" hidden="false" customHeight="true" outlineLevel="0" collapsed="false">
      <c r="A359" s="115" t="n">
        <f aca="false">EDATE(A358,1)</f>
        <v>47880</v>
      </c>
      <c r="B359" s="116" t="n">
        <f aca="false">'Inputs-Summary'!$B$7</f>
        <v>3017157.21662952</v>
      </c>
      <c r="C359" s="57"/>
      <c r="D359" s="117" t="n">
        <f aca="false">B359+C359</f>
        <v>3017157.21662952</v>
      </c>
      <c r="E359" s="106" t="n">
        <f aca="false">IF(Z359=0,0,IF(AND(Z359=1,$H$3=1),D359*U359,IF($H$3=2,D359,"N/A")))</f>
        <v>0</v>
      </c>
      <c r="F359" s="106" t="n">
        <f aca="false">E359*Y359</f>
        <v>0</v>
      </c>
      <c r="G359" s="118" t="n">
        <f aca="false">VLOOKUP($A359,Table,MATCH(G$4,Curves,0))</f>
        <v>3</v>
      </c>
      <c r="H359" s="119" t="n">
        <f aca="false">G359+$H$7</f>
        <v>3</v>
      </c>
      <c r="I359" s="118" t="n">
        <f aca="false">'Inputs-Summary'!$B$16</f>
        <v>1.85</v>
      </c>
      <c r="J359" s="118" t="n">
        <f aca="false">VLOOKUP($A359,Table,MATCH(J$4,Curves,0))</f>
        <v>5</v>
      </c>
      <c r="K359" s="119" t="n">
        <f aca="false">J359+$K$7</f>
        <v>5</v>
      </c>
      <c r="L359" s="120" t="n">
        <f aca="false">K359</f>
        <v>5</v>
      </c>
      <c r="M359" s="118" t="n">
        <f aca="false">VLOOKUP($A359,Table,MATCH(M$4,Curves,0))</f>
        <v>5</v>
      </c>
      <c r="N359" s="119" t="n">
        <f aca="false">M359+$N$7</f>
        <v>5</v>
      </c>
      <c r="O359" s="120" t="n">
        <f aca="false">N359</f>
        <v>5</v>
      </c>
      <c r="P359" s="109"/>
      <c r="Q359" s="120" t="n">
        <f aca="false">IF($F$3=1,M359+J359+G359,J359+G359)</f>
        <v>8</v>
      </c>
      <c r="R359" s="120" t="n">
        <f aca="false">IF($F$3=1,N359+K359+H359,K359+H359)</f>
        <v>8</v>
      </c>
      <c r="S359" s="120" t="n">
        <f aca="false">IF($F$3=1,O359+L359+I359,L359+I359)</f>
        <v>6.85</v>
      </c>
      <c r="T359" s="121"/>
      <c r="U359" s="67" t="n">
        <f aca="false">A360-A359</f>
        <v>28</v>
      </c>
      <c r="V359" s="122" t="n">
        <f aca="false">CHOOSE(F$3,A360+24,A359)</f>
        <v>47880</v>
      </c>
      <c r="W359" s="67" t="n">
        <f aca="false">V359-C$3</f>
        <v>1954</v>
      </c>
      <c r="X359" s="118" t="n">
        <f aca="false">VLOOKUP($A359,Table,MATCH(X$4,Curves,0))</f>
        <v>2</v>
      </c>
      <c r="Y359" s="123" t="n">
        <f aca="false">1/(1+CHOOSE(F$3,(X360+($K$3/10000))/2,(X359+($K$3/10000))/2))^(2*W359/365.25)</f>
        <v>0.000601344408426039</v>
      </c>
      <c r="Z359" s="67" t="n">
        <f aca="false">IF(AND(mthbeg&lt;=A359,mthend&gt;=A359),1,0)</f>
        <v>0</v>
      </c>
      <c r="AA359" s="67" t="n">
        <f aca="false">U359*Z359</f>
        <v>0</v>
      </c>
      <c r="AC359" s="110" t="n">
        <f aca="false">F359*(H359-I359)</f>
        <v>0</v>
      </c>
      <c r="AD359" s="49"/>
      <c r="AE359" s="124"/>
    </row>
    <row r="360" customFormat="false" ht="12" hidden="false" customHeight="true" outlineLevel="0" collapsed="false">
      <c r="A360" s="115" t="n">
        <f aca="false">EDATE(A359,1)</f>
        <v>47908</v>
      </c>
      <c r="B360" s="116" t="n">
        <f aca="false">'Inputs-Summary'!$B$7</f>
        <v>3017157.21662952</v>
      </c>
      <c r="C360" s="57"/>
      <c r="D360" s="117" t="n">
        <f aca="false">B360+C360</f>
        <v>3017157.21662952</v>
      </c>
      <c r="E360" s="106" t="n">
        <f aca="false">IF(Z360=0,0,IF(AND(Z360=1,$H$3=1),D360*U360,IF($H$3=2,D360,"N/A")))</f>
        <v>0</v>
      </c>
      <c r="F360" s="106" t="n">
        <f aca="false">E360*Y360</f>
        <v>0</v>
      </c>
      <c r="G360" s="118" t="n">
        <f aca="false">VLOOKUP($A360,Table,MATCH(G$4,Curves,0))</f>
        <v>3</v>
      </c>
      <c r="H360" s="119" t="n">
        <f aca="false">G360+$H$7</f>
        <v>3</v>
      </c>
      <c r="I360" s="118" t="n">
        <f aca="false">'Inputs-Summary'!$B$16</f>
        <v>1.85</v>
      </c>
      <c r="J360" s="118" t="n">
        <f aca="false">VLOOKUP($A360,Table,MATCH(J$4,Curves,0))</f>
        <v>5</v>
      </c>
      <c r="K360" s="119" t="n">
        <f aca="false">J360+$K$7</f>
        <v>5</v>
      </c>
      <c r="L360" s="120" t="n">
        <f aca="false">K360</f>
        <v>5</v>
      </c>
      <c r="M360" s="118" t="n">
        <f aca="false">VLOOKUP($A360,Table,MATCH(M$4,Curves,0))</f>
        <v>5</v>
      </c>
      <c r="N360" s="119" t="n">
        <f aca="false">M360+$N$7</f>
        <v>5</v>
      </c>
      <c r="O360" s="120" t="n">
        <f aca="false">N360</f>
        <v>5</v>
      </c>
      <c r="P360" s="109"/>
      <c r="Q360" s="120" t="n">
        <f aca="false">IF($F$3=1,M360+J360+G360,J360+G360)</f>
        <v>8</v>
      </c>
      <c r="R360" s="120" t="n">
        <f aca="false">IF($F$3=1,N360+K360+H360,K360+H360)</f>
        <v>8</v>
      </c>
      <c r="S360" s="120" t="n">
        <f aca="false">IF($F$3=1,O360+L360+I360,L360+I360)</f>
        <v>6.85</v>
      </c>
      <c r="T360" s="121"/>
      <c r="U360" s="67" t="n">
        <f aca="false">A361-A360</f>
        <v>31</v>
      </c>
      <c r="V360" s="122" t="n">
        <f aca="false">CHOOSE(F$3,A361+24,A360)</f>
        <v>47908</v>
      </c>
      <c r="W360" s="67" t="n">
        <f aca="false">V360-C$3</f>
        <v>1982</v>
      </c>
      <c r="X360" s="118" t="n">
        <f aca="false">VLOOKUP($A360,Table,MATCH(X$4,Curves,0))</f>
        <v>2</v>
      </c>
      <c r="Y360" s="123" t="n">
        <f aca="false">1/(1+CHOOSE(F$3,(X361+($K$3/10000))/2,(X360+($K$3/10000))/2))^(2*W360/365.25)</f>
        <v>0.000540716304480499</v>
      </c>
      <c r="Z360" s="67" t="n">
        <f aca="false">IF(AND(mthbeg&lt;=A360,mthend&gt;=A360),1,0)</f>
        <v>0</v>
      </c>
      <c r="AA360" s="67" t="n">
        <f aca="false">U360*Z360</f>
        <v>0</v>
      </c>
      <c r="AC360" s="110" t="n">
        <f aca="false">F360*(H360-I360)</f>
        <v>0</v>
      </c>
      <c r="AD360" s="49"/>
      <c r="AE360" s="124"/>
    </row>
    <row r="361" customFormat="false" ht="12" hidden="false" customHeight="true" outlineLevel="0" collapsed="false">
      <c r="A361" s="115" t="n">
        <f aca="false">EDATE(A360,1)</f>
        <v>47939</v>
      </c>
      <c r="B361" s="116" t="n">
        <f aca="false">'Inputs-Summary'!$B$7</f>
        <v>3017157.21662952</v>
      </c>
      <c r="C361" s="57"/>
      <c r="D361" s="117" t="n">
        <f aca="false">B361+C361</f>
        <v>3017157.21662952</v>
      </c>
      <c r="E361" s="106" t="n">
        <f aca="false">IF(Z361=0,0,IF(AND(Z361=1,$H$3=1),D361*U361,IF($H$3=2,D361,"N/A")))</f>
        <v>0</v>
      </c>
      <c r="F361" s="106" t="n">
        <f aca="false">E361*Y361</f>
        <v>0</v>
      </c>
      <c r="G361" s="118" t="n">
        <f aca="false">VLOOKUP($A361,Table,MATCH(G$4,Curves,0))</f>
        <v>3</v>
      </c>
      <c r="H361" s="119" t="n">
        <f aca="false">G361+$H$7</f>
        <v>3</v>
      </c>
      <c r="I361" s="118" t="n">
        <f aca="false">'Inputs-Summary'!$B$16</f>
        <v>1.85</v>
      </c>
      <c r="J361" s="118" t="n">
        <f aca="false">VLOOKUP($A361,Table,MATCH(J$4,Curves,0))</f>
        <v>5</v>
      </c>
      <c r="K361" s="119" t="n">
        <f aca="false">J361+$K$7</f>
        <v>5</v>
      </c>
      <c r="L361" s="120" t="n">
        <f aca="false">K361</f>
        <v>5</v>
      </c>
      <c r="M361" s="118" t="n">
        <f aca="false">VLOOKUP($A361,Table,MATCH(M$4,Curves,0))</f>
        <v>5</v>
      </c>
      <c r="N361" s="119" t="n">
        <f aca="false">M361+$N$7</f>
        <v>5</v>
      </c>
      <c r="O361" s="120" t="n">
        <f aca="false">N361</f>
        <v>5</v>
      </c>
      <c r="P361" s="109"/>
      <c r="Q361" s="120" t="n">
        <f aca="false">IF($F$3=1,M361+J361+G361,J361+G361)</f>
        <v>8</v>
      </c>
      <c r="R361" s="120" t="n">
        <f aca="false">IF($F$3=1,N361+K361+H361,K361+H361)</f>
        <v>8</v>
      </c>
      <c r="S361" s="120" t="n">
        <f aca="false">IF($F$3=1,O361+L361+I361,L361+I361)</f>
        <v>6.85</v>
      </c>
      <c r="T361" s="121"/>
      <c r="U361" s="67" t="n">
        <f aca="false">A362-A361</f>
        <v>30</v>
      </c>
      <c r="V361" s="122" t="n">
        <f aca="false">CHOOSE(F$3,A362+24,A361)</f>
        <v>47939</v>
      </c>
      <c r="W361" s="67" t="n">
        <f aca="false">V361-C$3</f>
        <v>2013</v>
      </c>
      <c r="X361" s="118" t="n">
        <f aca="false">VLOOKUP($A361,Table,MATCH(X$4,Curves,0))</f>
        <v>2</v>
      </c>
      <c r="Y361" s="123" t="n">
        <f aca="false">1/(1+CHOOSE(F$3,(X362+($K$3/10000))/2,(X361+($K$3/10000))/2))^(2*W361/365.25)</f>
        <v>0.000480696103983307</v>
      </c>
      <c r="Z361" s="67" t="n">
        <f aca="false">IF(AND(mthbeg&lt;=A361,mthend&gt;=A361),1,0)</f>
        <v>0</v>
      </c>
      <c r="AA361" s="67" t="n">
        <f aca="false">U361*Z361</f>
        <v>0</v>
      </c>
      <c r="AC361" s="110" t="n">
        <f aca="false">F361*(H361-I361)</f>
        <v>0</v>
      </c>
      <c r="AD361" s="49"/>
      <c r="AE361" s="124"/>
    </row>
    <row r="362" customFormat="false" ht="12" hidden="false" customHeight="true" outlineLevel="0" collapsed="false">
      <c r="A362" s="115" t="n">
        <f aca="false">EDATE(A361,1)</f>
        <v>47969</v>
      </c>
      <c r="B362" s="116" t="n">
        <f aca="false">'Inputs-Summary'!$B$7</f>
        <v>3017157.21662952</v>
      </c>
      <c r="C362" s="57"/>
      <c r="D362" s="117" t="n">
        <f aca="false">B362+C362</f>
        <v>3017157.21662952</v>
      </c>
      <c r="E362" s="106" t="n">
        <f aca="false">IF(Z362=0,0,IF(AND(Z362=1,$H$3=1),D362*U362,IF($H$3=2,D362,"N/A")))</f>
        <v>0</v>
      </c>
      <c r="F362" s="106" t="n">
        <f aca="false">E362*Y362</f>
        <v>0</v>
      </c>
      <c r="G362" s="118" t="n">
        <f aca="false">VLOOKUP($A362,Table,MATCH(G$4,Curves,0))</f>
        <v>3</v>
      </c>
      <c r="H362" s="119" t="n">
        <f aca="false">G362+$H$7</f>
        <v>3</v>
      </c>
      <c r="I362" s="118" t="n">
        <f aca="false">'Inputs-Summary'!$B$16</f>
        <v>1.85</v>
      </c>
      <c r="J362" s="118" t="n">
        <f aca="false">VLOOKUP($A362,Table,MATCH(J$4,Curves,0))</f>
        <v>5</v>
      </c>
      <c r="K362" s="119" t="n">
        <f aca="false">J362+$K$7</f>
        <v>5</v>
      </c>
      <c r="L362" s="120" t="n">
        <f aca="false">K362</f>
        <v>5</v>
      </c>
      <c r="M362" s="118" t="n">
        <f aca="false">VLOOKUP($A362,Table,MATCH(M$4,Curves,0))</f>
        <v>5</v>
      </c>
      <c r="N362" s="119" t="n">
        <f aca="false">M362+$N$7</f>
        <v>5</v>
      </c>
      <c r="O362" s="120" t="n">
        <f aca="false">N362</f>
        <v>5</v>
      </c>
      <c r="P362" s="109"/>
      <c r="Q362" s="120" t="n">
        <f aca="false">IF($F$3=1,M362+J362+G362,J362+G362)</f>
        <v>8</v>
      </c>
      <c r="R362" s="120" t="n">
        <f aca="false">IF($F$3=1,N362+K362+H362,K362+H362)</f>
        <v>8</v>
      </c>
      <c r="S362" s="120" t="n">
        <f aca="false">IF($F$3=1,O362+L362+I362,L362+I362)</f>
        <v>6.85</v>
      </c>
      <c r="T362" s="121"/>
      <c r="U362" s="67" t="n">
        <f aca="false">A363-A362</f>
        <v>31</v>
      </c>
      <c r="V362" s="122" t="n">
        <f aca="false">CHOOSE(F$3,A363+24,A362)</f>
        <v>47969</v>
      </c>
      <c r="W362" s="67" t="n">
        <f aca="false">V362-C$3</f>
        <v>2043</v>
      </c>
      <c r="X362" s="118" t="n">
        <f aca="false">VLOOKUP($A362,Table,MATCH(X$4,Curves,0))</f>
        <v>2</v>
      </c>
      <c r="Y362" s="123" t="n">
        <f aca="false">1/(1+CHOOSE(F$3,(X363+($K$3/10000))/2,(X362+($K$3/10000))/2))^(2*W362/365.25)</f>
        <v>0.000428963252500266</v>
      </c>
      <c r="Z362" s="67" t="n">
        <f aca="false">IF(AND(mthbeg&lt;=A362,mthend&gt;=A362),1,0)</f>
        <v>0</v>
      </c>
      <c r="AA362" s="67" t="n">
        <f aca="false">U362*Z362</f>
        <v>0</v>
      </c>
      <c r="AC362" s="110" t="n">
        <f aca="false">F362*(H362-I362)</f>
        <v>0</v>
      </c>
      <c r="AD362" s="49"/>
      <c r="AE362" s="124"/>
    </row>
    <row r="363" customFormat="false" ht="12" hidden="false" customHeight="true" outlineLevel="0" collapsed="false">
      <c r="A363" s="115" t="n">
        <f aca="false">EDATE(A362,1)</f>
        <v>48000</v>
      </c>
      <c r="B363" s="116" t="n">
        <f aca="false">'Inputs-Summary'!$B$7</f>
        <v>3017157.21662952</v>
      </c>
      <c r="C363" s="57"/>
      <c r="D363" s="117" t="n">
        <f aca="false">B363+C363</f>
        <v>3017157.21662952</v>
      </c>
      <c r="E363" s="106" t="n">
        <f aca="false">IF(Z363=0,0,IF(AND(Z363=1,$H$3=1),D363*U363,IF($H$3=2,D363,"N/A")))</f>
        <v>0</v>
      </c>
      <c r="F363" s="106" t="n">
        <f aca="false">E363*Y363</f>
        <v>0</v>
      </c>
      <c r="G363" s="118" t="n">
        <f aca="false">VLOOKUP($A363,Table,MATCH(G$4,Curves,0))</f>
        <v>3</v>
      </c>
      <c r="H363" s="119" t="n">
        <f aca="false">G363+$H$7</f>
        <v>3</v>
      </c>
      <c r="I363" s="118" t="n">
        <f aca="false">'Inputs-Summary'!$B$16</f>
        <v>1.85</v>
      </c>
      <c r="J363" s="118" t="n">
        <f aca="false">VLOOKUP($A363,Table,MATCH(J$4,Curves,0))</f>
        <v>5</v>
      </c>
      <c r="K363" s="119" t="n">
        <f aca="false">J363+$K$7</f>
        <v>5</v>
      </c>
      <c r="L363" s="120" t="n">
        <f aca="false">K363</f>
        <v>5</v>
      </c>
      <c r="M363" s="118" t="n">
        <f aca="false">VLOOKUP($A363,Table,MATCH(M$4,Curves,0))</f>
        <v>5</v>
      </c>
      <c r="N363" s="119" t="n">
        <f aca="false">M363+$N$7</f>
        <v>5</v>
      </c>
      <c r="O363" s="120" t="n">
        <f aca="false">N363</f>
        <v>5</v>
      </c>
      <c r="P363" s="109"/>
      <c r="Q363" s="120" t="n">
        <f aca="false">IF($F$3=1,M363+J363+G363,J363+G363)</f>
        <v>8</v>
      </c>
      <c r="R363" s="120" t="n">
        <f aca="false">IF($F$3=1,N363+K363+H363,K363+H363)</f>
        <v>8</v>
      </c>
      <c r="S363" s="120" t="n">
        <f aca="false">IF($F$3=1,O363+L363+I363,L363+I363)</f>
        <v>6.85</v>
      </c>
      <c r="T363" s="121"/>
      <c r="U363" s="67" t="n">
        <f aca="false">A364-A363</f>
        <v>30</v>
      </c>
      <c r="V363" s="122" t="n">
        <f aca="false">CHOOSE(F$3,A364+24,A363)</f>
        <v>48000</v>
      </c>
      <c r="W363" s="67" t="n">
        <f aca="false">V363-C$3</f>
        <v>2074</v>
      </c>
      <c r="X363" s="118" t="n">
        <f aca="false">VLOOKUP($A363,Table,MATCH(X$4,Curves,0))</f>
        <v>2</v>
      </c>
      <c r="Y363" s="123" t="n">
        <f aca="false">1/(1+CHOOSE(F$3,(X364+($K$3/10000))/2,(X363+($K$3/10000))/2))^(2*W363/365.25)</f>
        <v>0.000381347783523924</v>
      </c>
      <c r="Z363" s="67" t="n">
        <f aca="false">IF(AND(mthbeg&lt;=A363,mthend&gt;=A363),1,0)</f>
        <v>0</v>
      </c>
      <c r="AA363" s="67" t="n">
        <f aca="false">U363*Z363</f>
        <v>0</v>
      </c>
      <c r="AC363" s="110" t="n">
        <f aca="false">F363*(H363-I363)</f>
        <v>0</v>
      </c>
      <c r="AD363" s="49"/>
      <c r="AE363" s="124"/>
    </row>
    <row r="364" customFormat="false" ht="12" hidden="false" customHeight="true" outlineLevel="0" collapsed="false">
      <c r="A364" s="115" t="n">
        <f aca="false">EDATE(A363,1)</f>
        <v>48030</v>
      </c>
      <c r="B364" s="116" t="n">
        <f aca="false">'Inputs-Summary'!$B$7</f>
        <v>3017157.21662952</v>
      </c>
      <c r="C364" s="57"/>
      <c r="D364" s="117" t="n">
        <f aca="false">B364+C364</f>
        <v>3017157.21662952</v>
      </c>
      <c r="E364" s="106" t="n">
        <f aca="false">IF(Z364=0,0,IF(AND(Z364=1,$H$3=1),D364*U364,IF($H$3=2,D364,"N/A")))</f>
        <v>0</v>
      </c>
      <c r="F364" s="106" t="n">
        <f aca="false">E364*Y364</f>
        <v>0</v>
      </c>
      <c r="G364" s="118" t="n">
        <f aca="false">VLOOKUP($A364,Table,MATCH(G$4,Curves,0))</f>
        <v>3</v>
      </c>
      <c r="H364" s="119" t="n">
        <f aca="false">G364+$H$7</f>
        <v>3</v>
      </c>
      <c r="I364" s="118" t="n">
        <f aca="false">'Inputs-Summary'!$B$16</f>
        <v>1.85</v>
      </c>
      <c r="J364" s="118" t="n">
        <f aca="false">VLOOKUP($A364,Table,MATCH(J$4,Curves,0))</f>
        <v>5</v>
      </c>
      <c r="K364" s="119" t="n">
        <f aca="false">J364+$K$7</f>
        <v>5</v>
      </c>
      <c r="L364" s="120" t="n">
        <f aca="false">K364</f>
        <v>5</v>
      </c>
      <c r="M364" s="118" t="n">
        <f aca="false">VLOOKUP($A364,Table,MATCH(M$4,Curves,0))</f>
        <v>5</v>
      </c>
      <c r="N364" s="119" t="n">
        <f aca="false">M364+$N$7</f>
        <v>5</v>
      </c>
      <c r="O364" s="120" t="n">
        <f aca="false">N364</f>
        <v>5</v>
      </c>
      <c r="P364" s="109"/>
      <c r="Q364" s="120" t="n">
        <f aca="false">IF($F$3=1,M364+J364+G364,J364+G364)</f>
        <v>8</v>
      </c>
      <c r="R364" s="120" t="n">
        <f aca="false">IF($F$3=1,N364+K364+H364,K364+H364)</f>
        <v>8</v>
      </c>
      <c r="S364" s="120" t="n">
        <f aca="false">IF($F$3=1,O364+L364+I364,L364+I364)</f>
        <v>6.85</v>
      </c>
      <c r="T364" s="121"/>
      <c r="U364" s="67" t="n">
        <f aca="false">A365-A364</f>
        <v>31</v>
      </c>
      <c r="V364" s="122" t="n">
        <f aca="false">CHOOSE(F$3,A365+24,A364)</f>
        <v>48030</v>
      </c>
      <c r="W364" s="67" t="n">
        <f aca="false">V364-C$3</f>
        <v>2104</v>
      </c>
      <c r="X364" s="118" t="n">
        <f aca="false">VLOOKUP($A364,Table,MATCH(X$4,Curves,0))</f>
        <v>2</v>
      </c>
      <c r="Y364" s="123" t="n">
        <f aca="false">1/(1+CHOOSE(F$3,(X365+($K$3/10000))/2,(X364+($K$3/10000))/2))^(2*W364/365.25)</f>
        <v>0.000340306867891467</v>
      </c>
      <c r="Z364" s="67" t="n">
        <f aca="false">IF(AND(mthbeg&lt;=A364,mthend&gt;=A364),1,0)</f>
        <v>0</v>
      </c>
      <c r="AA364" s="67" t="n">
        <f aca="false">U364*Z364</f>
        <v>0</v>
      </c>
      <c r="AC364" s="110" t="n">
        <f aca="false">F364*(H364-I364)</f>
        <v>0</v>
      </c>
      <c r="AD364" s="49"/>
      <c r="AE364" s="124"/>
    </row>
    <row r="365" customFormat="false" ht="12" hidden="false" customHeight="true" outlineLevel="0" collapsed="false">
      <c r="A365" s="115" t="n">
        <f aca="false">EDATE(A364,1)</f>
        <v>48061</v>
      </c>
      <c r="B365" s="116" t="n">
        <f aca="false">'Inputs-Summary'!$B$7</f>
        <v>3017157.21662952</v>
      </c>
      <c r="C365" s="57"/>
      <c r="D365" s="117" t="n">
        <f aca="false">B365+C365</f>
        <v>3017157.21662952</v>
      </c>
      <c r="E365" s="106" t="n">
        <f aca="false">IF(Z365=0,0,IF(AND(Z365=1,$H$3=1),D365*U365,IF($H$3=2,D365,"N/A")))</f>
        <v>0</v>
      </c>
      <c r="F365" s="106" t="n">
        <f aca="false">E365*Y365</f>
        <v>0</v>
      </c>
      <c r="G365" s="118" t="n">
        <f aca="false">VLOOKUP($A365,Table,MATCH(G$4,Curves,0))</f>
        <v>3</v>
      </c>
      <c r="H365" s="119" t="n">
        <f aca="false">G365+$H$7</f>
        <v>3</v>
      </c>
      <c r="I365" s="118" t="n">
        <f aca="false">'Inputs-Summary'!$B$16</f>
        <v>1.85</v>
      </c>
      <c r="J365" s="118" t="n">
        <f aca="false">VLOOKUP($A365,Table,MATCH(J$4,Curves,0))</f>
        <v>5</v>
      </c>
      <c r="K365" s="119" t="n">
        <f aca="false">J365+$K$7</f>
        <v>5</v>
      </c>
      <c r="L365" s="120" t="n">
        <f aca="false">K365</f>
        <v>5</v>
      </c>
      <c r="M365" s="118" t="n">
        <f aca="false">VLOOKUP($A365,Table,MATCH(M$4,Curves,0))</f>
        <v>5</v>
      </c>
      <c r="N365" s="119" t="n">
        <f aca="false">M365+$N$7</f>
        <v>5</v>
      </c>
      <c r="O365" s="120" t="n">
        <f aca="false">N365</f>
        <v>5</v>
      </c>
      <c r="P365" s="109"/>
      <c r="Q365" s="120" t="n">
        <f aca="false">IF($F$3=1,M365+J365+G365,J365+G365)</f>
        <v>8</v>
      </c>
      <c r="R365" s="120" t="n">
        <f aca="false">IF($F$3=1,N365+K365+H365,K365+H365)</f>
        <v>8</v>
      </c>
      <c r="S365" s="120" t="n">
        <f aca="false">IF($F$3=1,O365+L365+I365,L365+I365)</f>
        <v>6.85</v>
      </c>
      <c r="T365" s="121"/>
      <c r="U365" s="67" t="n">
        <f aca="false">A366-A365</f>
        <v>31</v>
      </c>
      <c r="V365" s="122" t="n">
        <f aca="false">CHOOSE(F$3,A366+24,A365)</f>
        <v>48061</v>
      </c>
      <c r="W365" s="67" t="n">
        <f aca="false">V365-C$3</f>
        <v>2135</v>
      </c>
      <c r="X365" s="118" t="n">
        <f aca="false">VLOOKUP($A365,Table,MATCH(X$4,Curves,0))</f>
        <v>2</v>
      </c>
      <c r="Y365" s="123" t="n">
        <f aca="false">1/(1+CHOOSE(F$3,(X366+($K$3/10000))/2,(X365+($K$3/10000))/2))^(2*W365/365.25)</f>
        <v>0.000302532370854539</v>
      </c>
      <c r="Z365" s="67" t="n">
        <f aca="false">IF(AND(mthbeg&lt;=A365,mthend&gt;=A365),1,0)</f>
        <v>0</v>
      </c>
      <c r="AA365" s="67" t="n">
        <f aca="false">U365*Z365</f>
        <v>0</v>
      </c>
      <c r="AC365" s="110" t="n">
        <f aca="false">F365*(H365-I365)</f>
        <v>0</v>
      </c>
      <c r="AD365" s="49"/>
      <c r="AE365" s="124"/>
    </row>
    <row r="366" customFormat="false" ht="12" hidden="false" customHeight="true" outlineLevel="0" collapsed="false">
      <c r="A366" s="115" t="n">
        <f aca="false">EDATE(A365,1)</f>
        <v>48092</v>
      </c>
      <c r="B366" s="116" t="n">
        <f aca="false">'Inputs-Summary'!$B$7</f>
        <v>3017157.21662952</v>
      </c>
      <c r="C366" s="57"/>
      <c r="D366" s="117" t="n">
        <f aca="false">B366+C366</f>
        <v>3017157.21662952</v>
      </c>
      <c r="E366" s="106" t="n">
        <f aca="false">IF(Z366=0,0,IF(AND(Z366=1,$H$3=1),D366*U366,IF($H$3=2,D366,"N/A")))</f>
        <v>0</v>
      </c>
      <c r="F366" s="106" t="n">
        <f aca="false">E366*Y366</f>
        <v>0</v>
      </c>
      <c r="G366" s="118" t="n">
        <f aca="false">VLOOKUP($A366,Table,MATCH(G$4,Curves,0))</f>
        <v>3</v>
      </c>
      <c r="H366" s="119" t="n">
        <f aca="false">G366+$H$7</f>
        <v>3</v>
      </c>
      <c r="I366" s="118" t="n">
        <f aca="false">'Inputs-Summary'!$B$16</f>
        <v>1.85</v>
      </c>
      <c r="J366" s="118" t="n">
        <f aca="false">VLOOKUP($A366,Table,MATCH(J$4,Curves,0))</f>
        <v>5</v>
      </c>
      <c r="K366" s="119" t="n">
        <f aca="false">J366+$K$7</f>
        <v>5</v>
      </c>
      <c r="L366" s="120" t="n">
        <f aca="false">K366</f>
        <v>5</v>
      </c>
      <c r="M366" s="118" t="n">
        <f aca="false">VLOOKUP($A366,Table,MATCH(M$4,Curves,0))</f>
        <v>5</v>
      </c>
      <c r="N366" s="119" t="n">
        <f aca="false">M366+$N$7</f>
        <v>5</v>
      </c>
      <c r="O366" s="120" t="n">
        <f aca="false">N366</f>
        <v>5</v>
      </c>
      <c r="P366" s="109"/>
      <c r="Q366" s="120" t="n">
        <f aca="false">IF($F$3=1,M366+J366+G366,J366+G366)</f>
        <v>8</v>
      </c>
      <c r="R366" s="120" t="n">
        <f aca="false">IF($F$3=1,N366+K366+H366,K366+H366)</f>
        <v>8</v>
      </c>
      <c r="S366" s="120" t="n">
        <f aca="false">IF($F$3=1,O366+L366+I366,L366+I366)</f>
        <v>6.85</v>
      </c>
      <c r="T366" s="121"/>
      <c r="U366" s="67" t="n">
        <f aca="false">A367-A366</f>
        <v>30</v>
      </c>
      <c r="V366" s="122" t="n">
        <f aca="false">CHOOSE(F$3,A367+24,A366)</f>
        <v>48092</v>
      </c>
      <c r="W366" s="67" t="n">
        <f aca="false">V366-C$3</f>
        <v>2166</v>
      </c>
      <c r="X366" s="118" t="n">
        <f aca="false">VLOOKUP($A366,Table,MATCH(X$4,Curves,0))</f>
        <v>2</v>
      </c>
      <c r="Y366" s="123" t="n">
        <f aca="false">1/(1+CHOOSE(F$3,(X367+($K$3/10000))/2,(X366+($K$3/10000))/2))^(2*W366/365.25)</f>
        <v>0.000268950891241073</v>
      </c>
      <c r="Z366" s="67" t="n">
        <f aca="false">IF(AND(mthbeg&lt;=A366,mthend&gt;=A366),1,0)</f>
        <v>0</v>
      </c>
      <c r="AA366" s="67" t="n">
        <f aca="false">U366*Z366</f>
        <v>0</v>
      </c>
      <c r="AC366" s="110" t="n">
        <f aca="false">F366*(H366-I366)</f>
        <v>0</v>
      </c>
      <c r="AD366" s="49"/>
      <c r="AE366" s="124"/>
    </row>
    <row r="367" customFormat="false" ht="12" hidden="false" customHeight="true" outlineLevel="0" collapsed="false">
      <c r="A367" s="115" t="n">
        <f aca="false">EDATE(A366,1)</f>
        <v>48122</v>
      </c>
      <c r="B367" s="116" t="n">
        <f aca="false">'Inputs-Summary'!$B$7</f>
        <v>3017157.21662952</v>
      </c>
      <c r="C367" s="57"/>
      <c r="D367" s="117" t="n">
        <f aca="false">B367+C367</f>
        <v>3017157.21662952</v>
      </c>
      <c r="E367" s="106" t="n">
        <f aca="false">IF(Z367=0,0,IF(AND(Z367=1,$H$3=1),D367*U367,IF($H$3=2,D367,"N/A")))</f>
        <v>0</v>
      </c>
      <c r="F367" s="106" t="n">
        <f aca="false">E367*Y367</f>
        <v>0</v>
      </c>
      <c r="G367" s="118" t="n">
        <f aca="false">VLOOKUP($A367,Table,MATCH(G$4,Curves,0))</f>
        <v>3</v>
      </c>
      <c r="H367" s="119" t="n">
        <f aca="false">G367+$H$7</f>
        <v>3</v>
      </c>
      <c r="I367" s="118" t="n">
        <f aca="false">'Inputs-Summary'!$B$16</f>
        <v>1.85</v>
      </c>
      <c r="J367" s="118" t="n">
        <f aca="false">VLOOKUP($A367,Table,MATCH(J$4,Curves,0))</f>
        <v>5</v>
      </c>
      <c r="K367" s="119" t="n">
        <f aca="false">J367+$K$7</f>
        <v>5</v>
      </c>
      <c r="L367" s="120" t="n">
        <f aca="false">K367</f>
        <v>5</v>
      </c>
      <c r="M367" s="118" t="n">
        <f aca="false">VLOOKUP($A367,Table,MATCH(M$4,Curves,0))</f>
        <v>5</v>
      </c>
      <c r="N367" s="119" t="n">
        <f aca="false">M367+$N$7</f>
        <v>5</v>
      </c>
      <c r="O367" s="120" t="n">
        <f aca="false">N367</f>
        <v>5</v>
      </c>
      <c r="P367" s="109"/>
      <c r="Q367" s="120" t="n">
        <f aca="false">IF($F$3=1,M367+J367+G367,J367+G367)</f>
        <v>8</v>
      </c>
      <c r="R367" s="120" t="n">
        <f aca="false">IF($F$3=1,N367+K367+H367,K367+H367)</f>
        <v>8</v>
      </c>
      <c r="S367" s="120" t="n">
        <f aca="false">IF($F$3=1,O367+L367+I367,L367+I367)</f>
        <v>6.85</v>
      </c>
      <c r="T367" s="121"/>
      <c r="U367" s="67" t="n">
        <f aca="false">A368-A367</f>
        <v>31</v>
      </c>
      <c r="V367" s="122" t="n">
        <f aca="false">CHOOSE(F$3,A368+24,A367)</f>
        <v>48122</v>
      </c>
      <c r="W367" s="67" t="n">
        <f aca="false">V367-C$3</f>
        <v>2196</v>
      </c>
      <c r="X367" s="118" t="n">
        <f aca="false">VLOOKUP($A367,Table,MATCH(X$4,Curves,0))</f>
        <v>2</v>
      </c>
      <c r="Y367" s="123" t="n">
        <f aca="false">1/(1+CHOOSE(F$3,(X368+($K$3/10000))/2,(X367+($K$3/10000))/2))^(2*W367/365.25)</f>
        <v>0.000240006207900579</v>
      </c>
      <c r="Z367" s="67" t="n">
        <f aca="false">IF(AND(mthbeg&lt;=A367,mthend&gt;=A367),1,0)</f>
        <v>0</v>
      </c>
      <c r="AA367" s="67" t="n">
        <f aca="false">U367*Z367</f>
        <v>0</v>
      </c>
      <c r="AC367" s="110" t="n">
        <f aca="false">F367*(H367-I367)</f>
        <v>0</v>
      </c>
      <c r="AD367" s="49"/>
      <c r="AE367" s="124"/>
    </row>
    <row r="368" customFormat="false" ht="12" hidden="false" customHeight="true" outlineLevel="0" collapsed="false">
      <c r="A368" s="115" t="n">
        <f aca="false">EDATE(A367,1)</f>
        <v>48153</v>
      </c>
      <c r="B368" s="116" t="n">
        <f aca="false">'Inputs-Summary'!$B$7</f>
        <v>3017157.21662952</v>
      </c>
      <c r="C368" s="57"/>
      <c r="D368" s="117" t="n">
        <f aca="false">B368+C368</f>
        <v>3017157.21662952</v>
      </c>
      <c r="E368" s="106" t="n">
        <f aca="false">IF(Z368=0,0,IF(AND(Z368=1,$H$3=1),D368*U368,IF($H$3=2,D368,"N/A")))</f>
        <v>0</v>
      </c>
      <c r="F368" s="106" t="n">
        <f aca="false">E368*Y368</f>
        <v>0</v>
      </c>
      <c r="G368" s="118" t="n">
        <f aca="false">VLOOKUP($A368,Table,MATCH(G$4,Curves,0))</f>
        <v>3</v>
      </c>
      <c r="H368" s="119" t="n">
        <f aca="false">G368+$H$7</f>
        <v>3</v>
      </c>
      <c r="I368" s="118" t="n">
        <f aca="false">'Inputs-Summary'!$B$16</f>
        <v>1.85</v>
      </c>
      <c r="J368" s="118" t="n">
        <f aca="false">VLOOKUP($A368,Table,MATCH(J$4,Curves,0))</f>
        <v>5</v>
      </c>
      <c r="K368" s="119" t="n">
        <f aca="false">J368+$K$7</f>
        <v>5</v>
      </c>
      <c r="L368" s="120" t="n">
        <f aca="false">K368</f>
        <v>5</v>
      </c>
      <c r="M368" s="118" t="n">
        <f aca="false">VLOOKUP($A368,Table,MATCH(M$4,Curves,0))</f>
        <v>5</v>
      </c>
      <c r="N368" s="119" t="n">
        <f aca="false">M368+$N$7</f>
        <v>5</v>
      </c>
      <c r="O368" s="120" t="n">
        <f aca="false">N368</f>
        <v>5</v>
      </c>
      <c r="P368" s="109"/>
      <c r="Q368" s="120" t="n">
        <f aca="false">IF($F$3=1,M368+J368+G368,J368+G368)</f>
        <v>8</v>
      </c>
      <c r="R368" s="120" t="n">
        <f aca="false">IF($F$3=1,N368+K368+H368,K368+H368)</f>
        <v>8</v>
      </c>
      <c r="S368" s="120" t="n">
        <f aca="false">IF($F$3=1,O368+L368+I368,L368+I368)</f>
        <v>6.85</v>
      </c>
      <c r="T368" s="121"/>
      <c r="U368" s="67" t="n">
        <f aca="false">A369-A368</f>
        <v>30</v>
      </c>
      <c r="V368" s="122" t="n">
        <f aca="false">CHOOSE(F$3,A369+24,A368)</f>
        <v>48153</v>
      </c>
      <c r="W368" s="67" t="n">
        <f aca="false">V368-C$3</f>
        <v>2227</v>
      </c>
      <c r="X368" s="118" t="n">
        <f aca="false">VLOOKUP($A368,Table,MATCH(X$4,Curves,0))</f>
        <v>2</v>
      </c>
      <c r="Y368" s="123" t="n">
        <f aca="false">1/(1+CHOOSE(F$3,(X369+($K$3/10000))/2,(X368+($K$3/10000))/2))^(2*W368/365.25)</f>
        <v>0.000213365212244635</v>
      </c>
      <c r="Z368" s="67" t="n">
        <f aca="false">IF(AND(mthbeg&lt;=A368,mthend&gt;=A368),1,0)</f>
        <v>0</v>
      </c>
      <c r="AA368" s="67" t="n">
        <f aca="false">U368*Z368</f>
        <v>0</v>
      </c>
      <c r="AC368" s="110" t="n">
        <f aca="false">F368*(H368-I368)</f>
        <v>0</v>
      </c>
      <c r="AD368" s="49"/>
      <c r="AE368" s="124"/>
    </row>
    <row r="369" customFormat="false" ht="12" hidden="false" customHeight="true" outlineLevel="0" collapsed="false">
      <c r="A369" s="115" t="n">
        <f aca="false">EDATE(A368,1)</f>
        <v>48183</v>
      </c>
      <c r="B369" s="116" t="n">
        <f aca="false">'Inputs-Summary'!$B$7</f>
        <v>3017157.21662952</v>
      </c>
      <c r="C369" s="57"/>
      <c r="D369" s="117" t="n">
        <f aca="false">B369+C369</f>
        <v>3017157.21662952</v>
      </c>
      <c r="E369" s="106" t="n">
        <f aca="false">IF(Z369=0,0,IF(AND(Z369=1,$H$3=1),D369*U369,IF($H$3=2,D369,"N/A")))</f>
        <v>0</v>
      </c>
      <c r="F369" s="106" t="n">
        <f aca="false">E369*Y369</f>
        <v>0</v>
      </c>
      <c r="G369" s="118" t="n">
        <f aca="false">VLOOKUP($A369,Table,MATCH(G$4,Curves,0))</f>
        <v>3</v>
      </c>
      <c r="H369" s="119" t="n">
        <f aca="false">G369+$H$7</f>
        <v>3</v>
      </c>
      <c r="I369" s="118" t="n">
        <f aca="false">'Inputs-Summary'!$B$16</f>
        <v>1.85</v>
      </c>
      <c r="J369" s="118" t="n">
        <f aca="false">VLOOKUP($A369,Table,MATCH(J$4,Curves,0))</f>
        <v>5</v>
      </c>
      <c r="K369" s="119" t="n">
        <f aca="false">J369+$K$7</f>
        <v>5</v>
      </c>
      <c r="L369" s="120" t="n">
        <f aca="false">K369</f>
        <v>5</v>
      </c>
      <c r="M369" s="118" t="n">
        <f aca="false">VLOOKUP($A369,Table,MATCH(M$4,Curves,0))</f>
        <v>5</v>
      </c>
      <c r="N369" s="119" t="n">
        <f aca="false">M369+$N$7</f>
        <v>5</v>
      </c>
      <c r="O369" s="120" t="n">
        <f aca="false">N369</f>
        <v>5</v>
      </c>
      <c r="P369" s="109"/>
      <c r="Q369" s="120" t="n">
        <f aca="false">IF($F$3=1,M369+J369+G369,J369+G369)</f>
        <v>8</v>
      </c>
      <c r="R369" s="120" t="n">
        <f aca="false">IF($F$3=1,N369+K369+H369,K369+H369)</f>
        <v>8</v>
      </c>
      <c r="S369" s="120" t="n">
        <f aca="false">IF($F$3=1,O369+L369+I369,L369+I369)</f>
        <v>6.85</v>
      </c>
      <c r="T369" s="121"/>
      <c r="U369" s="67" t="n">
        <f aca="false">A370-A369</f>
        <v>31</v>
      </c>
      <c r="V369" s="122" t="n">
        <f aca="false">CHOOSE(F$3,A370+24,A369)</f>
        <v>48183</v>
      </c>
      <c r="W369" s="67" t="n">
        <f aca="false">V369-C$3</f>
        <v>2257</v>
      </c>
      <c r="X369" s="118" t="n">
        <f aca="false">VLOOKUP($A369,Table,MATCH(X$4,Curves,0))</f>
        <v>2</v>
      </c>
      <c r="Y369" s="123" t="n">
        <f aca="false">1/(1+CHOOSE(F$3,(X370+($K$3/10000))/2,(X369+($K$3/10000))/2))^(2*W369/365.25)</f>
        <v>0.000190402698620679</v>
      </c>
      <c r="Z369" s="67" t="n">
        <f aca="false">IF(AND(mthbeg&lt;=A369,mthend&gt;=A369),1,0)</f>
        <v>0</v>
      </c>
      <c r="AA369" s="67" t="n">
        <f aca="false">U369*Z369</f>
        <v>0</v>
      </c>
      <c r="AC369" s="125" t="n">
        <f aca="false">F369*(H369-I369)</f>
        <v>0</v>
      </c>
      <c r="AD369" s="49"/>
      <c r="AE369" s="124"/>
    </row>
    <row r="370" customFormat="false" ht="12.75" hidden="false" customHeight="false" outlineLevel="0" collapsed="false">
      <c r="A370" s="115" t="n">
        <f aca="false">EDATE(A369,1)</f>
        <v>48214</v>
      </c>
      <c r="X370" s="118" t="n">
        <f aca="false">VLOOKUP($A370,Table,MATCH(X$4,Curves,0))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7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0" topLeftCell="D1" activePane="topRight" state="frozen"/>
      <selection pane="topLeft" activeCell="A1" activeCellId="0" sqref="A1"/>
      <selection pane="topRight" activeCell="D21" activeCellId="0" sqref="D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6" width="13.85"/>
    <col collapsed="false" customWidth="true" hidden="false" outlineLevel="0" max="2" min="2" style="126" width="14.7"/>
    <col collapsed="false" customWidth="true" hidden="false" outlineLevel="0" max="3" min="3" style="127" width="13.28"/>
    <col collapsed="false" customWidth="true" hidden="false" outlineLevel="0" max="5" min="4" style="127" width="19.14"/>
    <col collapsed="false" customWidth="true" hidden="false" outlineLevel="0" max="11" min="6" style="127" width="18.85"/>
    <col collapsed="false" customWidth="true" hidden="false" outlineLevel="0" max="12" min="12" style="0" width="15.28"/>
    <col collapsed="false" customWidth="true" hidden="false" outlineLevel="0" max="13" min="13" style="128" width="12.7"/>
    <col collapsed="false" customWidth="true" hidden="false" outlineLevel="0" max="14" min="14" style="0" width="12.7"/>
    <col collapsed="false" customWidth="true" hidden="false" outlineLevel="0" max="16" min="15" style="55" width="17.85"/>
    <col collapsed="false" customWidth="false" hidden="false" outlineLevel="0" max="257" min="17" style="128" width="9.14"/>
  </cols>
  <sheetData>
    <row r="1" customFormat="false" ht="12.75" hidden="false" customHeight="false" outlineLevel="0" collapsed="false">
      <c r="A1" s="128" t="s">
        <v>123</v>
      </c>
      <c r="B1" s="128"/>
      <c r="C1" s="129" t="s">
        <v>124</v>
      </c>
      <c r="D1" s="130" t="s">
        <v>125</v>
      </c>
    </row>
    <row r="2" customFormat="false" ht="12.75" hidden="false" customHeight="false" outlineLevel="0" collapsed="false">
      <c r="A2" s="128" t="s">
        <v>126</v>
      </c>
      <c r="B2" s="128"/>
      <c r="C2" s="129" t="s">
        <v>124</v>
      </c>
      <c r="D2" s="130" t="s">
        <v>127</v>
      </c>
    </row>
    <row r="3" customFormat="false" ht="12.75" hidden="false" customHeight="false" outlineLevel="0" collapsed="false">
      <c r="A3" s="128" t="s">
        <v>128</v>
      </c>
      <c r="B3" s="128"/>
      <c r="C3" s="129" t="s">
        <v>129</v>
      </c>
      <c r="D3" s="130" t="s">
        <v>130</v>
      </c>
      <c r="AE3" s="127"/>
    </row>
    <row r="4" customFormat="false" ht="12.75" hidden="false" customHeight="false" outlineLevel="0" collapsed="false">
      <c r="A4" s="128"/>
      <c r="B4" s="128"/>
      <c r="C4" s="129"/>
      <c r="D4" s="130"/>
      <c r="M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</row>
    <row r="5" customFormat="false" ht="12.75" hidden="false" customHeight="false" outlineLevel="0" collapsed="false">
      <c r="A5" s="130"/>
      <c r="B5" s="130"/>
      <c r="I5" s="127" t="s">
        <v>131</v>
      </c>
      <c r="J5" s="127" t="s">
        <v>131</v>
      </c>
    </row>
    <row r="6" customFormat="false" ht="12.75" hidden="false" customHeight="false" outlineLevel="0" collapsed="false">
      <c r="A6" s="131" t="n">
        <f aca="false">'Inputs-Summary'!B5</f>
        <v>37061</v>
      </c>
      <c r="B6" s="132"/>
      <c r="D6" s="130"/>
      <c r="E6" s="130"/>
    </row>
    <row r="7" customFormat="false" ht="12.75" hidden="false" customHeight="false" outlineLevel="0" collapsed="false">
      <c r="A7" s="128"/>
      <c r="B7" s="128"/>
      <c r="C7" s="129"/>
      <c r="D7" s="133"/>
    </row>
    <row r="8" customFormat="false" ht="11.25" hidden="false" customHeight="false" outlineLevel="0" collapsed="false">
      <c r="A8" s="128"/>
      <c r="B8" s="128"/>
      <c r="C8" s="126"/>
      <c r="D8" s="127" t="s">
        <v>110</v>
      </c>
      <c r="E8" s="127" t="s">
        <v>108</v>
      </c>
      <c r="F8" s="127" t="s">
        <v>132</v>
      </c>
      <c r="G8" s="127" t="str">
        <f aca="false">CONCATENATE(G13,"-",G15)</f>
        <v>NGI/CHI. GATE-D</v>
      </c>
      <c r="H8" s="127" t="str">
        <f aca="false">CONCATENATE(H13,"-",H15)</f>
        <v>NGI/CHI. GATE-I</v>
      </c>
      <c r="I8" s="127" t="str">
        <f aca="false">CONCATENATE(I13,"-",I15)</f>
        <v>IF-HEHUB-D</v>
      </c>
      <c r="J8" s="127" t="str">
        <f aca="false">CONCATENATE(J13,"-",J15)</f>
        <v>IF-HEHUB-I</v>
      </c>
      <c r="K8" s="127" t="str">
        <f aca="false">CONCATENATE(K13,"-",K15)</f>
        <v>IF-HPL/SHPCHAN-D</v>
      </c>
      <c r="L8" s="127" t="str">
        <f aca="false">CONCATENATE(L13,"-",L15)</f>
        <v>IF-HPL/SHPCHAN-I</v>
      </c>
      <c r="M8" s="127" t="str">
        <f aca="false">CONCATENATE(M13,"-",M15)</f>
        <v>NGI-SOCAL-D</v>
      </c>
      <c r="N8" s="127" t="str">
        <f aca="false">CONCATENATE(N13,"-",N15)</f>
        <v>NGI-SOCAL-I</v>
      </c>
      <c r="O8" s="127" t="str">
        <f aca="false">CONCATENATE(O13,"-",O15)</f>
        <v>IF-TRANSCO/Z6-D</v>
      </c>
      <c r="P8" s="127" t="str">
        <f aca="false">CONCATENATE(P13,"-",P15)</f>
        <v>IF-TRANSCO/Z6-I</v>
      </c>
    </row>
    <row r="9" customFormat="false" ht="12.75" hidden="false" customHeight="false" outlineLevel="0" collapsed="false">
      <c r="A9" s="128"/>
      <c r="B9" s="128"/>
      <c r="C9" s="126"/>
    </row>
    <row r="10" customFormat="false" ht="11.25" hidden="false" customHeight="false" outlineLevel="0" collapsed="false">
      <c r="A10" s="127"/>
      <c r="B10" s="127"/>
      <c r="C10" s="127" t="n">
        <v>1</v>
      </c>
      <c r="D10" s="127" t="n">
        <v>2</v>
      </c>
      <c r="E10" s="127" t="n">
        <v>3</v>
      </c>
      <c r="F10" s="127" t="n">
        <v>4</v>
      </c>
      <c r="G10" s="127" t="n">
        <v>4</v>
      </c>
      <c r="H10" s="127" t="n">
        <v>4</v>
      </c>
      <c r="I10" s="127" t="n">
        <v>5</v>
      </c>
      <c r="J10" s="127" t="n">
        <v>5</v>
      </c>
      <c r="K10" s="127" t="n">
        <v>6</v>
      </c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  <c r="IV10" s="127"/>
      <c r="IW10" s="127"/>
    </row>
    <row r="11" customFormat="false" ht="11.25" hidden="false" customHeight="false" outlineLevel="0" collapsed="false">
      <c r="A11" s="127"/>
      <c r="B11" s="127"/>
      <c r="C11" s="129" t="s">
        <v>133</v>
      </c>
      <c r="D11" s="134" t="n">
        <f aca="false">today</f>
        <v>37061</v>
      </c>
      <c r="E11" s="134" t="n">
        <f aca="false">today</f>
        <v>37061</v>
      </c>
      <c r="F11" s="134" t="n">
        <f aca="false">today</f>
        <v>37061</v>
      </c>
      <c r="G11" s="134" t="n">
        <f aca="false">today</f>
        <v>37061</v>
      </c>
      <c r="H11" s="134" t="n">
        <f aca="false">today</f>
        <v>37061</v>
      </c>
      <c r="I11" s="134" t="n">
        <f aca="false">today</f>
        <v>37061</v>
      </c>
      <c r="J11" s="134" t="n">
        <f aca="false">today</f>
        <v>37061</v>
      </c>
      <c r="K11" s="134" t="n">
        <f aca="false">today</f>
        <v>37061</v>
      </c>
      <c r="L11" s="134" t="n">
        <f aca="false">today</f>
        <v>37061</v>
      </c>
      <c r="M11" s="134" t="n">
        <f aca="false">today</f>
        <v>37061</v>
      </c>
      <c r="N11" s="134" t="n">
        <f aca="false">today</f>
        <v>37061</v>
      </c>
      <c r="O11" s="134" t="n">
        <f aca="false">today</f>
        <v>37061</v>
      </c>
      <c r="P11" s="134" t="n">
        <f aca="false">today</f>
        <v>37061</v>
      </c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  <c r="IJ11" s="127"/>
      <c r="IK11" s="127"/>
      <c r="IL11" s="127"/>
      <c r="IM11" s="127"/>
      <c r="IN11" s="127"/>
      <c r="IO11" s="127"/>
      <c r="IP11" s="127"/>
      <c r="IQ11" s="127"/>
      <c r="IR11" s="127"/>
      <c r="IS11" s="127"/>
      <c r="IT11" s="127"/>
      <c r="IU11" s="127"/>
      <c r="IV11" s="127"/>
      <c r="IW11" s="127"/>
    </row>
    <row r="12" customFormat="false" ht="11.25" hidden="false" customHeight="false" outlineLevel="0" collapsed="false">
      <c r="A12" s="127"/>
      <c r="B12" s="127"/>
      <c r="C12" s="129" t="s">
        <v>134</v>
      </c>
      <c r="D12" s="129" t="e">
        <f aca="false">BeginningOfNextMonth(D11)</f>
        <v>#VALUE!</v>
      </c>
      <c r="E12" s="129" t="e">
        <f aca="false">BeginningOfNextMonth(E11)</f>
        <v>#VALUE!</v>
      </c>
      <c r="F12" s="129" t="e">
        <f aca="false">BeginningOfNextMonth(F11)</f>
        <v>#VALUE!</v>
      </c>
      <c r="G12" s="129" t="e">
        <f aca="false">BeginningOfNextMonth(G11)</f>
        <v>#VALUE!</v>
      </c>
      <c r="H12" s="129" t="e">
        <f aca="false">BeginningOfNextMonth(H11)</f>
        <v>#VALUE!</v>
      </c>
      <c r="I12" s="129" t="e">
        <f aca="false">BeginningOfNextMonth(I11)</f>
        <v>#VALUE!</v>
      </c>
      <c r="J12" s="129" t="e">
        <f aca="false">BeginningOfNextMonth(J11)</f>
        <v>#VALUE!</v>
      </c>
      <c r="K12" s="129" t="e">
        <f aca="false">BeginningOfNextMonth(K11)</f>
        <v>#VALUE!</v>
      </c>
      <c r="L12" s="129" t="e">
        <f aca="false">BeginningOfNextMonth(L11)</f>
        <v>#VALUE!</v>
      </c>
      <c r="M12" s="129" t="e">
        <f aca="false">BeginningOfNextMonth(M11)</f>
        <v>#VALUE!</v>
      </c>
      <c r="N12" s="129" t="e">
        <f aca="false">BeginningOfNextMonth(N11)</f>
        <v>#VALUE!</v>
      </c>
      <c r="O12" s="129" t="e">
        <f aca="false">BeginningOfNextMonth(O11)</f>
        <v>#VALUE!</v>
      </c>
      <c r="P12" s="129" t="e">
        <f aca="false">BeginningOfNextMonth(P11)</f>
        <v>#VALUE!</v>
      </c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  <c r="IJ12" s="127"/>
      <c r="IK12" s="127"/>
      <c r="IL12" s="127"/>
      <c r="IM12" s="127"/>
      <c r="IN12" s="127"/>
      <c r="IO12" s="127"/>
      <c r="IP12" s="127"/>
      <c r="IQ12" s="127"/>
      <c r="IR12" s="127"/>
      <c r="IS12" s="127"/>
      <c r="IT12" s="127"/>
      <c r="IU12" s="127"/>
      <c r="IV12" s="127"/>
      <c r="IW12" s="127"/>
    </row>
    <row r="13" customFormat="false" ht="11.25" hidden="false" customHeight="false" outlineLevel="0" collapsed="false">
      <c r="A13" s="127"/>
      <c r="B13" s="127"/>
      <c r="C13" s="129" t="s">
        <v>135</v>
      </c>
      <c r="D13" s="135" t="s">
        <v>136</v>
      </c>
      <c r="E13" s="127" t="s">
        <v>137</v>
      </c>
      <c r="F13" s="127" t="s">
        <v>137</v>
      </c>
      <c r="G13" s="127" t="s">
        <v>138</v>
      </c>
      <c r="H13" s="127" t="s">
        <v>138</v>
      </c>
      <c r="I13" s="127" t="s">
        <v>44</v>
      </c>
      <c r="J13" s="127" t="s">
        <v>44</v>
      </c>
      <c r="K13" s="127" t="s">
        <v>139</v>
      </c>
      <c r="L13" s="127" t="s">
        <v>139</v>
      </c>
      <c r="M13" s="127" t="s">
        <v>140</v>
      </c>
      <c r="N13" s="127" t="s">
        <v>140</v>
      </c>
      <c r="O13" s="127" t="s">
        <v>141</v>
      </c>
      <c r="P13" s="127" t="s">
        <v>141</v>
      </c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7"/>
      <c r="IF13" s="127"/>
      <c r="IG13" s="127"/>
      <c r="IH13" s="127"/>
      <c r="II13" s="127"/>
      <c r="IJ13" s="127"/>
      <c r="IK13" s="127"/>
      <c r="IL13" s="127"/>
      <c r="IM13" s="127"/>
      <c r="IN13" s="127"/>
      <c r="IO13" s="127"/>
      <c r="IP13" s="127"/>
      <c r="IQ13" s="127"/>
      <c r="IR13" s="127"/>
      <c r="IS13" s="127"/>
      <c r="IT13" s="127"/>
      <c r="IU13" s="127"/>
      <c r="IV13" s="127"/>
      <c r="IW13" s="127"/>
    </row>
    <row r="14" customFormat="false" ht="11.25" hidden="false" customHeight="false" outlineLevel="0" collapsed="false">
      <c r="A14" s="127"/>
      <c r="B14" s="127"/>
      <c r="C14" s="129" t="s">
        <v>142</v>
      </c>
      <c r="D14" s="136" t="s">
        <v>119</v>
      </c>
      <c r="E14" s="127" t="s">
        <v>143</v>
      </c>
      <c r="F14" s="127" t="s">
        <v>144</v>
      </c>
      <c r="G14" s="127" t="s">
        <v>143</v>
      </c>
      <c r="H14" s="127" t="s">
        <v>143</v>
      </c>
      <c r="I14" s="127" t="s">
        <v>143</v>
      </c>
      <c r="J14" s="127" t="s">
        <v>143</v>
      </c>
      <c r="K14" s="127" t="s">
        <v>143</v>
      </c>
      <c r="L14" s="127" t="s">
        <v>143</v>
      </c>
      <c r="M14" s="127" t="s">
        <v>143</v>
      </c>
      <c r="N14" s="127" t="s">
        <v>143</v>
      </c>
      <c r="O14" s="127" t="s">
        <v>143</v>
      </c>
      <c r="P14" s="127" t="s">
        <v>143</v>
      </c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  <c r="IJ14" s="127"/>
      <c r="IK14" s="127"/>
      <c r="IL14" s="127"/>
      <c r="IM14" s="127"/>
      <c r="IN14" s="127"/>
      <c r="IO14" s="127"/>
      <c r="IP14" s="127"/>
      <c r="IQ14" s="127"/>
      <c r="IR14" s="127"/>
      <c r="IS14" s="127"/>
      <c r="IT14" s="127"/>
      <c r="IU14" s="127"/>
      <c r="IV14" s="127"/>
      <c r="IW14" s="127"/>
    </row>
    <row r="15" customFormat="false" ht="11.25" hidden="false" customHeight="false" outlineLevel="0" collapsed="false">
      <c r="A15" s="128"/>
      <c r="B15" s="128"/>
      <c r="C15" s="137" t="s">
        <v>145</v>
      </c>
      <c r="D15" s="136" t="s">
        <v>146</v>
      </c>
      <c r="E15" s="127" t="s">
        <v>147</v>
      </c>
      <c r="F15" s="127" t="s">
        <v>147</v>
      </c>
      <c r="G15" s="127" t="s">
        <v>148</v>
      </c>
      <c r="H15" s="127" t="s">
        <v>149</v>
      </c>
      <c r="I15" s="127" t="s">
        <v>148</v>
      </c>
      <c r="J15" s="127" t="s">
        <v>149</v>
      </c>
      <c r="K15" s="127" t="s">
        <v>148</v>
      </c>
      <c r="L15" s="127" t="s">
        <v>149</v>
      </c>
      <c r="M15" s="127" t="s">
        <v>148</v>
      </c>
      <c r="N15" s="127" t="s">
        <v>149</v>
      </c>
      <c r="O15" s="127" t="s">
        <v>148</v>
      </c>
      <c r="P15" s="127" t="s">
        <v>149</v>
      </c>
    </row>
    <row r="16" customFormat="false" ht="12.75" hidden="false" customHeight="false" outlineLevel="0" collapsed="false">
      <c r="A16" s="128"/>
      <c r="B16" s="128"/>
      <c r="C16" s="137" t="s">
        <v>150</v>
      </c>
      <c r="D16" s="136" t="s">
        <v>151</v>
      </c>
      <c r="E16" s="127" t="s">
        <v>152</v>
      </c>
      <c r="F16" s="127" t="s">
        <v>152</v>
      </c>
      <c r="G16" s="127" t="s">
        <v>153</v>
      </c>
      <c r="H16" s="127" t="s">
        <v>153</v>
      </c>
      <c r="I16" s="127" t="s">
        <v>154</v>
      </c>
      <c r="J16" s="127" t="s">
        <v>154</v>
      </c>
      <c r="K16" s="127" t="s">
        <v>155</v>
      </c>
      <c r="L16" s="0" t="s">
        <v>156</v>
      </c>
      <c r="M16" s="128" t="s">
        <v>157</v>
      </c>
      <c r="N16" s="0" t="s">
        <v>157</v>
      </c>
      <c r="O16" s="55" t="s">
        <v>158</v>
      </c>
      <c r="P16" s="55" t="s">
        <v>158</v>
      </c>
      <c r="Q16" s="127"/>
      <c r="R16" s="127"/>
      <c r="S16" s="127"/>
      <c r="T16" s="127"/>
      <c r="U16" s="127"/>
      <c r="V16" s="127"/>
    </row>
    <row r="17" customFormat="false" ht="12.75" hidden="false" customHeight="false" outlineLevel="0" collapsed="false">
      <c r="A17" s="128"/>
      <c r="B17" s="128"/>
      <c r="C17" s="138" t="e">
        <f aca="false">BeginningOfNextMonth(today)</f>
        <v>#VALUE!</v>
      </c>
      <c r="D17" s="139" t="n">
        <v>0.0408476340022568</v>
      </c>
      <c r="E17" s="139" t="n">
        <v>3.981</v>
      </c>
      <c r="F17" s="139" t="n">
        <v>0.635</v>
      </c>
      <c r="G17" s="139" t="n">
        <v>0.03</v>
      </c>
      <c r="H17" s="139" t="n">
        <v>-0.04</v>
      </c>
      <c r="I17" s="139" t="n">
        <v>-0.0025</v>
      </c>
      <c r="J17" s="139" t="n">
        <v>0</v>
      </c>
      <c r="K17" s="139" t="n">
        <v>0.0375</v>
      </c>
      <c r="L17" s="0" t="n">
        <v>-0.015</v>
      </c>
      <c r="M17" s="128" t="n">
        <v>2.8</v>
      </c>
      <c r="N17" s="0" t="n">
        <v>-0.05</v>
      </c>
      <c r="O17" s="55" t="n">
        <v>0.44</v>
      </c>
      <c r="P17" s="55" t="n">
        <v>0.035</v>
      </c>
    </row>
    <row r="18" customFormat="false" ht="12.75" hidden="false" customHeight="false" outlineLevel="0" collapsed="false">
      <c r="A18" s="128"/>
      <c r="B18" s="128"/>
      <c r="C18" s="138" t="e">
        <f aca="false">NextMonth(C17)</f>
        <v>#VALUE!</v>
      </c>
      <c r="D18" s="127" t="n">
        <v>0.0392822448464347</v>
      </c>
      <c r="E18" s="139" t="n">
        <v>4.06</v>
      </c>
      <c r="F18" s="139" t="n">
        <v>0.6</v>
      </c>
      <c r="G18" s="139" t="n">
        <v>0.03</v>
      </c>
      <c r="H18" s="139" t="n">
        <v>-0.02</v>
      </c>
      <c r="I18" s="139" t="n">
        <v>0</v>
      </c>
      <c r="J18" s="139" t="n">
        <v>0</v>
      </c>
      <c r="K18" s="139" t="n">
        <v>0.04</v>
      </c>
      <c r="L18" s="0" t="n">
        <v>-0.015</v>
      </c>
      <c r="M18" s="128" t="n">
        <v>2.8</v>
      </c>
      <c r="N18" s="0" t="n">
        <v>0.02</v>
      </c>
      <c r="O18" s="55" t="n">
        <v>0.44</v>
      </c>
      <c r="P18" s="55" t="n">
        <v>0.035</v>
      </c>
    </row>
    <row r="19" customFormat="false" ht="12.75" hidden="false" customHeight="false" outlineLevel="0" collapsed="false">
      <c r="A19" s="128"/>
      <c r="B19" s="128"/>
      <c r="C19" s="138" t="e">
        <f aca="false">NextMonth(C18)</f>
        <v>#VALUE!</v>
      </c>
      <c r="D19" s="127" t="n">
        <v>0.0386735156293829</v>
      </c>
      <c r="E19" s="139" t="n">
        <v>4.098</v>
      </c>
      <c r="F19" s="139" t="n">
        <v>0.5975</v>
      </c>
      <c r="G19" s="139" t="n">
        <v>0.03</v>
      </c>
      <c r="H19" s="139" t="n">
        <v>-0.015</v>
      </c>
      <c r="I19" s="139" t="n">
        <v>0</v>
      </c>
      <c r="J19" s="139" t="n">
        <v>0</v>
      </c>
      <c r="K19" s="139" t="n">
        <v>0.025</v>
      </c>
      <c r="L19" s="0" t="n">
        <v>-0.015</v>
      </c>
      <c r="M19" s="128" t="n">
        <v>2.25</v>
      </c>
      <c r="N19" s="0" t="n">
        <v>0.02</v>
      </c>
      <c r="O19" s="55" t="n">
        <v>0.37</v>
      </c>
      <c r="P19" s="55" t="n">
        <v>0.035</v>
      </c>
    </row>
    <row r="20" customFormat="false" ht="12.75" hidden="false" customHeight="false" outlineLevel="0" collapsed="false">
      <c r="A20" s="128"/>
      <c r="B20" s="128"/>
      <c r="C20" s="138" t="e">
        <f aca="false">NextMonth(C19)</f>
        <v>#VALUE!</v>
      </c>
      <c r="D20" s="127" t="n">
        <v>0.0383719486083565</v>
      </c>
      <c r="E20" s="139" t="n">
        <v>4.14</v>
      </c>
      <c r="F20" s="139" t="n">
        <v>0.595</v>
      </c>
      <c r="G20" s="139" t="n">
        <v>0.03</v>
      </c>
      <c r="H20" s="139" t="n">
        <v>-0.01</v>
      </c>
      <c r="I20" s="139" t="n">
        <v>0</v>
      </c>
      <c r="J20" s="139" t="n">
        <v>0</v>
      </c>
      <c r="K20" s="139" t="n">
        <v>0.01</v>
      </c>
      <c r="L20" s="0" t="n">
        <v>-0.015</v>
      </c>
      <c r="M20" s="128" t="n">
        <v>1.4</v>
      </c>
      <c r="N20" s="0" t="n">
        <v>0</v>
      </c>
      <c r="O20" s="55" t="n">
        <v>0.445</v>
      </c>
      <c r="P20" s="55" t="n">
        <v>0.035</v>
      </c>
    </row>
    <row r="21" customFormat="false" ht="12.75" hidden="false" customHeight="false" outlineLevel="0" collapsed="false">
      <c r="A21" s="128"/>
      <c r="B21" s="128"/>
      <c r="C21" s="138" t="e">
        <f aca="false">NextMonth(C20)</f>
        <v>#VALUE!</v>
      </c>
      <c r="D21" s="127" t="n">
        <v>0.0384074118179232</v>
      </c>
      <c r="E21" s="139" t="n">
        <v>4.329</v>
      </c>
      <c r="F21" s="139" t="n">
        <v>0.595</v>
      </c>
      <c r="G21" s="139" t="n">
        <v>0.085</v>
      </c>
      <c r="H21" s="139" t="n">
        <v>0.0225</v>
      </c>
      <c r="I21" s="139" t="n">
        <v>0</v>
      </c>
      <c r="J21" s="139" t="n">
        <v>0</v>
      </c>
      <c r="K21" s="139" t="n">
        <v>-0.03</v>
      </c>
      <c r="L21" s="0" t="n">
        <v>-0.02</v>
      </c>
      <c r="M21" s="128" t="n">
        <v>1.15</v>
      </c>
      <c r="N21" s="0" t="n">
        <v>0.08</v>
      </c>
      <c r="O21" s="55" t="n">
        <v>0.6</v>
      </c>
      <c r="P21" s="55" t="n">
        <v>0.1</v>
      </c>
    </row>
    <row r="22" customFormat="false" ht="12.75" hidden="false" customHeight="false" outlineLevel="0" collapsed="false">
      <c r="A22" s="128"/>
      <c r="B22" s="128"/>
      <c r="C22" s="138" t="e">
        <f aca="false">NextMonth(C21)</f>
        <v>#VALUE!</v>
      </c>
      <c r="D22" s="127" t="n">
        <v>0.0384417310533896</v>
      </c>
      <c r="E22" s="139" t="n">
        <v>4.518</v>
      </c>
      <c r="F22" s="139" t="n">
        <v>0.5975</v>
      </c>
      <c r="G22" s="139" t="n">
        <v>0.12</v>
      </c>
      <c r="H22" s="139" t="n">
        <v>0.0225</v>
      </c>
      <c r="I22" s="139" t="n">
        <v>0</v>
      </c>
      <c r="J22" s="139" t="n">
        <v>0</v>
      </c>
      <c r="K22" s="139" t="n">
        <v>-0.05</v>
      </c>
      <c r="L22" s="0" t="n">
        <v>-0.025</v>
      </c>
      <c r="M22" s="128" t="n">
        <v>1.15</v>
      </c>
      <c r="N22" s="0" t="n">
        <v>0.08</v>
      </c>
      <c r="O22" s="55" t="n">
        <v>0.92</v>
      </c>
      <c r="P22" s="55" t="n">
        <v>0.3</v>
      </c>
    </row>
    <row r="23" customFormat="false" ht="12.75" hidden="false" customHeight="false" outlineLevel="0" collapsed="false">
      <c r="A23" s="128"/>
      <c r="B23" s="128"/>
      <c r="C23" s="138" t="e">
        <f aca="false">NextMonth(C22)</f>
        <v>#VALUE!</v>
      </c>
      <c r="D23" s="127" t="n">
        <v>0.0383985916205782</v>
      </c>
      <c r="E23" s="139" t="n">
        <v>4.578</v>
      </c>
      <c r="F23" s="139" t="n">
        <v>0.6</v>
      </c>
      <c r="G23" s="139" t="n">
        <v>0.155</v>
      </c>
      <c r="H23" s="139" t="n">
        <v>0.0225</v>
      </c>
      <c r="I23" s="139" t="n">
        <v>0</v>
      </c>
      <c r="J23" s="139" t="n">
        <v>0</v>
      </c>
      <c r="K23" s="139" t="n">
        <v>-0.0525</v>
      </c>
      <c r="L23" s="0" t="n">
        <v>-0.025</v>
      </c>
      <c r="M23" s="128" t="n">
        <v>1.1</v>
      </c>
      <c r="N23" s="0" t="n">
        <v>0.08</v>
      </c>
      <c r="O23" s="55" t="n">
        <v>2.19</v>
      </c>
      <c r="P23" s="55" t="n">
        <v>0.5</v>
      </c>
    </row>
    <row r="24" customFormat="false" ht="12.75" hidden="false" customHeight="false" outlineLevel="0" collapsed="false">
      <c r="A24" s="128"/>
      <c r="B24" s="128"/>
      <c r="C24" s="138" t="e">
        <f aca="false">NextMonth(C23)</f>
        <v>#VALUE!</v>
      </c>
      <c r="D24" s="127" t="n">
        <v>0.0382466177643344</v>
      </c>
      <c r="E24" s="127" t="n">
        <v>4.435</v>
      </c>
      <c r="F24" s="127" t="n">
        <v>0.5925</v>
      </c>
      <c r="G24" s="127" t="n">
        <v>0.16</v>
      </c>
      <c r="H24" s="127" t="n">
        <v>0.0225</v>
      </c>
      <c r="I24" s="127" t="n">
        <v>0</v>
      </c>
      <c r="J24" s="127" t="n">
        <v>0</v>
      </c>
      <c r="K24" s="127" t="n">
        <v>-0.035</v>
      </c>
      <c r="L24" s="0" t="n">
        <v>-0.025</v>
      </c>
      <c r="M24" s="128" t="n">
        <v>0.9</v>
      </c>
      <c r="N24" s="0" t="n">
        <v>0.08</v>
      </c>
      <c r="O24" s="55" t="n">
        <v>2.19</v>
      </c>
      <c r="P24" s="55" t="n">
        <v>0.5</v>
      </c>
    </row>
    <row r="25" customFormat="false" ht="12.75" hidden="false" customHeight="false" outlineLevel="0" collapsed="false">
      <c r="A25" s="128"/>
      <c r="B25" s="128"/>
      <c r="C25" s="138" t="e">
        <f aca="false">NextMonth(C24)</f>
        <v>#VALUE!</v>
      </c>
      <c r="D25" s="127" t="n">
        <v>0.0381093510621362</v>
      </c>
      <c r="E25" s="127" t="n">
        <v>4.225</v>
      </c>
      <c r="F25" s="127" t="n">
        <v>0.5425</v>
      </c>
      <c r="G25" s="127" t="n">
        <v>0.155</v>
      </c>
      <c r="H25" s="127" t="n">
        <v>0.0225</v>
      </c>
      <c r="I25" s="127" t="n">
        <v>0</v>
      </c>
      <c r="J25" s="127" t="n">
        <v>0</v>
      </c>
      <c r="K25" s="127" t="n">
        <v>-0.02</v>
      </c>
      <c r="L25" s="0" t="n">
        <v>-0.02</v>
      </c>
      <c r="M25" s="128" t="n">
        <v>0.4</v>
      </c>
      <c r="N25" s="0" t="n">
        <v>0.08</v>
      </c>
      <c r="O25" s="55" t="n">
        <v>0.57</v>
      </c>
      <c r="P25" s="55" t="n">
        <v>0.1</v>
      </c>
    </row>
    <row r="26" customFormat="false" ht="12.75" hidden="false" customHeight="false" outlineLevel="0" collapsed="false">
      <c r="A26" s="128"/>
      <c r="B26" s="128"/>
      <c r="C26" s="138" t="e">
        <f aca="false">NextMonth(C25)</f>
        <v>#VALUE!</v>
      </c>
      <c r="D26" s="127" t="n">
        <v>0.0380840355156296</v>
      </c>
      <c r="E26" s="127" t="n">
        <v>3.777</v>
      </c>
      <c r="F26" s="127" t="n">
        <v>0.4375</v>
      </c>
      <c r="G26" s="127" t="n">
        <v>0.045</v>
      </c>
      <c r="H26" s="127" t="n">
        <v>0</v>
      </c>
      <c r="I26" s="127" t="n">
        <v>0</v>
      </c>
      <c r="J26" s="127" t="n">
        <v>0</v>
      </c>
      <c r="K26" s="127" t="n">
        <v>0.0125</v>
      </c>
      <c r="L26" s="0" t="n">
        <v>-0.015</v>
      </c>
      <c r="M26" s="128" t="n">
        <v>0.52</v>
      </c>
      <c r="N26" s="0" t="n">
        <v>0.07</v>
      </c>
      <c r="O26" s="55" t="n">
        <v>0.5</v>
      </c>
      <c r="P26" s="55" t="n">
        <v>0.02</v>
      </c>
    </row>
    <row r="27" customFormat="false" ht="12.75" hidden="false" customHeight="false" outlineLevel="0" collapsed="false">
      <c r="A27" s="128"/>
      <c r="B27" s="128"/>
      <c r="C27" s="138" t="e">
        <f aca="false">NextMonth(C26)</f>
        <v>#VALUE!</v>
      </c>
      <c r="D27" s="127" t="n">
        <v>0.0382239784155449</v>
      </c>
      <c r="E27" s="127" t="n">
        <v>3.712</v>
      </c>
      <c r="F27" s="127" t="n">
        <v>0.3875</v>
      </c>
      <c r="G27" s="127" t="n">
        <v>0.045</v>
      </c>
      <c r="H27" s="127" t="n">
        <v>0</v>
      </c>
      <c r="I27" s="127" t="n">
        <v>0</v>
      </c>
      <c r="J27" s="127" t="n">
        <v>0</v>
      </c>
      <c r="K27" s="127" t="n">
        <v>0.0175</v>
      </c>
      <c r="L27" s="0" t="n">
        <v>-0.015</v>
      </c>
      <c r="M27" s="128" t="n">
        <v>0.52</v>
      </c>
      <c r="N27" s="0" t="n">
        <v>0.07</v>
      </c>
      <c r="O27" s="55" t="n">
        <v>0.44</v>
      </c>
      <c r="P27" s="55" t="n">
        <v>0.02</v>
      </c>
    </row>
    <row r="28" customFormat="false" ht="12.75" hidden="false" customHeight="false" outlineLevel="0" collapsed="false">
      <c r="A28" s="128"/>
      <c r="B28" s="128"/>
      <c r="C28" s="138" t="e">
        <f aca="false">NextMonth(C27)</f>
        <v>#VALUE!</v>
      </c>
      <c r="D28" s="127" t="n">
        <v>0.0383685860857002</v>
      </c>
      <c r="E28" s="127" t="n">
        <v>3.757</v>
      </c>
      <c r="F28" s="127" t="n">
        <v>0.38</v>
      </c>
      <c r="G28" s="127" t="n">
        <v>0.045</v>
      </c>
      <c r="H28" s="127" t="n">
        <v>0</v>
      </c>
      <c r="I28" s="127" t="n">
        <v>0</v>
      </c>
      <c r="J28" s="127" t="n">
        <v>0</v>
      </c>
      <c r="K28" s="127" t="n">
        <v>0.0275</v>
      </c>
      <c r="L28" s="0" t="n">
        <v>-0.015</v>
      </c>
      <c r="M28" s="128" t="n">
        <v>0.62</v>
      </c>
      <c r="N28" s="0" t="n">
        <v>0.07</v>
      </c>
      <c r="O28" s="55" t="n">
        <v>0.44</v>
      </c>
      <c r="P28" s="55" t="n">
        <v>0.035</v>
      </c>
    </row>
    <row r="29" customFormat="false" ht="12.75" hidden="false" customHeight="false" outlineLevel="0" collapsed="false">
      <c r="A29" s="128"/>
      <c r="B29" s="128"/>
      <c r="C29" s="138" t="e">
        <f aca="false">NextMonth(C28)</f>
        <v>#VALUE!</v>
      </c>
      <c r="D29" s="127" t="n">
        <v>0.0385389878755515</v>
      </c>
      <c r="E29" s="127" t="n">
        <v>3.802</v>
      </c>
      <c r="F29" s="127" t="n">
        <v>0.38</v>
      </c>
      <c r="G29" s="127" t="n">
        <v>0.045</v>
      </c>
      <c r="H29" s="127" t="n">
        <v>0</v>
      </c>
      <c r="I29" s="127" t="n">
        <v>0</v>
      </c>
      <c r="J29" s="127" t="n">
        <v>0</v>
      </c>
      <c r="K29" s="127" t="n">
        <v>0.0325</v>
      </c>
      <c r="L29" s="0" t="n">
        <v>-0.01</v>
      </c>
      <c r="M29" s="128" t="n">
        <v>0.94</v>
      </c>
      <c r="N29" s="0" t="n">
        <v>0.07</v>
      </c>
      <c r="O29" s="55" t="n">
        <v>0.5</v>
      </c>
      <c r="P29" s="55" t="n">
        <v>0.035</v>
      </c>
    </row>
    <row r="30" customFormat="false" ht="12.75" hidden="false" customHeight="false" outlineLevel="0" collapsed="false">
      <c r="A30" s="128"/>
      <c r="B30" s="128"/>
      <c r="C30" s="138" t="e">
        <f aca="false">NextMonth(C29)</f>
        <v>#VALUE!</v>
      </c>
      <c r="D30" s="127" t="n">
        <v>0.038764769138294</v>
      </c>
      <c r="E30" s="127" t="n">
        <v>3.829</v>
      </c>
      <c r="F30" s="127" t="n">
        <v>0.38</v>
      </c>
      <c r="G30" s="127" t="n">
        <v>0.045</v>
      </c>
      <c r="H30" s="127" t="n">
        <v>0</v>
      </c>
      <c r="I30" s="127" t="n">
        <v>0</v>
      </c>
      <c r="J30" s="127" t="n">
        <v>0</v>
      </c>
      <c r="K30" s="127" t="n">
        <v>0.035</v>
      </c>
      <c r="L30" s="0" t="n">
        <v>-0.01</v>
      </c>
      <c r="M30" s="128" t="n">
        <v>0.94</v>
      </c>
      <c r="N30" s="0" t="n">
        <v>0.07</v>
      </c>
      <c r="O30" s="55" t="n">
        <v>0.5</v>
      </c>
      <c r="P30" s="55" t="n">
        <v>0.035</v>
      </c>
    </row>
    <row r="31" customFormat="false" ht="12.75" hidden="false" customHeight="false" outlineLevel="0" collapsed="false">
      <c r="A31" s="128"/>
      <c r="B31" s="128"/>
      <c r="C31" s="138" t="e">
        <f aca="false">NextMonth(C30)</f>
        <v>#VALUE!</v>
      </c>
      <c r="D31" s="127" t="n">
        <v>0.0389905504181511</v>
      </c>
      <c r="E31" s="127" t="n">
        <v>3.842</v>
      </c>
      <c r="F31" s="127" t="n">
        <v>0.38</v>
      </c>
      <c r="G31" s="127" t="n">
        <v>0.045</v>
      </c>
      <c r="H31" s="127" t="n">
        <v>0</v>
      </c>
      <c r="I31" s="127" t="n">
        <v>0</v>
      </c>
      <c r="J31" s="127" t="n">
        <v>0</v>
      </c>
      <c r="K31" s="127" t="n">
        <v>0.0225</v>
      </c>
      <c r="L31" s="0" t="n">
        <v>-0.01</v>
      </c>
      <c r="M31" s="128" t="n">
        <v>0.94</v>
      </c>
      <c r="N31" s="0" t="n">
        <v>0.07</v>
      </c>
      <c r="O31" s="55" t="n">
        <v>0.46</v>
      </c>
      <c r="P31" s="55" t="n">
        <v>0.035</v>
      </c>
    </row>
    <row r="32" customFormat="false" ht="12.75" hidden="false" customHeight="false" outlineLevel="0" collapsed="false">
      <c r="A32" s="128"/>
      <c r="B32" s="128"/>
      <c r="C32" s="138" t="e">
        <f aca="false">NextMonth(C31)</f>
        <v>#VALUE!</v>
      </c>
      <c r="D32" s="127" t="n">
        <v>0.0392669528399274</v>
      </c>
      <c r="E32" s="127" t="n">
        <v>3.864</v>
      </c>
      <c r="F32" s="127" t="n">
        <v>0.38</v>
      </c>
      <c r="G32" s="127" t="n">
        <v>0.045</v>
      </c>
      <c r="H32" s="127" t="n">
        <v>0</v>
      </c>
      <c r="I32" s="127" t="n">
        <v>0</v>
      </c>
      <c r="J32" s="127" t="n">
        <v>0</v>
      </c>
      <c r="K32" s="127" t="n">
        <v>0.01</v>
      </c>
      <c r="L32" s="0" t="n">
        <v>-0.015</v>
      </c>
      <c r="M32" s="128" t="n">
        <v>0.59</v>
      </c>
      <c r="N32" s="0" t="n">
        <v>0.07</v>
      </c>
      <c r="O32" s="55" t="n">
        <v>0.47</v>
      </c>
      <c r="P32" s="55" t="n">
        <v>0.035</v>
      </c>
    </row>
    <row r="33" customFormat="false" ht="12.75" hidden="false" customHeight="false" outlineLevel="0" collapsed="false">
      <c r="A33" s="128"/>
      <c r="B33" s="128"/>
      <c r="C33" s="138" t="e">
        <f aca="false">NextMonth(C32)</f>
        <v>#VALUE!</v>
      </c>
      <c r="D33" s="127" t="n">
        <v>0.0396352107270706</v>
      </c>
      <c r="E33" s="127" t="n">
        <v>4.004</v>
      </c>
      <c r="F33" s="127" t="n">
        <v>0.385</v>
      </c>
      <c r="G33" s="127" t="n">
        <v>0.12</v>
      </c>
      <c r="H33" s="127" t="n">
        <v>0.025</v>
      </c>
      <c r="I33" s="127" t="n">
        <v>0</v>
      </c>
      <c r="J33" s="127" t="n">
        <v>0</v>
      </c>
      <c r="K33" s="127" t="n">
        <v>-0.0225</v>
      </c>
      <c r="L33" s="0" t="n">
        <v>-0.02</v>
      </c>
      <c r="M33" s="128" t="n">
        <v>0.86</v>
      </c>
      <c r="N33" s="0" t="n">
        <v>0.06</v>
      </c>
      <c r="O33" s="55" t="n">
        <v>0.77</v>
      </c>
      <c r="P33" s="55" t="n">
        <v>0.1</v>
      </c>
    </row>
    <row r="34" customFormat="false" ht="12.75" hidden="false" customHeight="false" outlineLevel="0" collapsed="false">
      <c r="A34" s="128"/>
      <c r="B34" s="128"/>
      <c r="C34" s="138" t="e">
        <f aca="false">NextMonth(C33)</f>
        <v>#VALUE!</v>
      </c>
      <c r="D34" s="127" t="n">
        <v>0.0399915893708624</v>
      </c>
      <c r="E34" s="127" t="n">
        <v>4.142</v>
      </c>
      <c r="F34" s="127" t="n">
        <v>0.3875</v>
      </c>
      <c r="G34" s="127" t="n">
        <v>0.14</v>
      </c>
      <c r="H34" s="127" t="n">
        <v>0.025</v>
      </c>
      <c r="I34" s="127" t="n">
        <v>0</v>
      </c>
      <c r="J34" s="127" t="n">
        <v>0</v>
      </c>
      <c r="K34" s="127" t="n">
        <v>-0.045</v>
      </c>
      <c r="L34" s="0" t="n">
        <v>-0.025</v>
      </c>
      <c r="M34" s="128" t="n">
        <v>0.86</v>
      </c>
      <c r="N34" s="0" t="n">
        <v>0.06</v>
      </c>
      <c r="O34" s="55" t="n">
        <v>1.17</v>
      </c>
      <c r="P34" s="55" t="n">
        <v>0.3</v>
      </c>
    </row>
    <row r="35" customFormat="false" ht="12.75" hidden="false" customHeight="false" outlineLevel="0" collapsed="false">
      <c r="A35" s="128"/>
      <c r="B35" s="128"/>
      <c r="C35" s="138" t="e">
        <f aca="false">NextMonth(C34)</f>
        <v>#VALUE!</v>
      </c>
      <c r="D35" s="127" t="n">
        <v>0.0403950659787928</v>
      </c>
      <c r="E35" s="127" t="n">
        <v>4.202</v>
      </c>
      <c r="F35" s="127" t="n">
        <v>0.3925</v>
      </c>
      <c r="G35" s="127" t="n">
        <v>0.15</v>
      </c>
      <c r="H35" s="127" t="n">
        <v>0.025</v>
      </c>
      <c r="I35" s="127" t="n">
        <v>0</v>
      </c>
      <c r="J35" s="127" t="n">
        <v>0</v>
      </c>
      <c r="K35" s="127" t="n">
        <v>-0.0475</v>
      </c>
      <c r="L35" s="0" t="n">
        <v>-0.025</v>
      </c>
      <c r="M35" s="128" t="n">
        <v>0.59</v>
      </c>
      <c r="N35" s="0" t="n">
        <v>0.06</v>
      </c>
      <c r="O35" s="55" t="n">
        <v>1.68</v>
      </c>
      <c r="P35" s="55" t="n">
        <v>0.5</v>
      </c>
    </row>
    <row r="36" customFormat="false" ht="12.75" hidden="false" customHeight="false" outlineLevel="0" collapsed="false">
      <c r="A36" s="128"/>
      <c r="B36" s="128"/>
      <c r="C36" s="138" t="e">
        <f aca="false">NextMonth(C35)</f>
        <v>#VALUE!</v>
      </c>
      <c r="D36" s="127" t="n">
        <v>0.0408413081284764</v>
      </c>
      <c r="E36" s="127" t="n">
        <v>4.085</v>
      </c>
      <c r="F36" s="127" t="n">
        <v>0.38</v>
      </c>
      <c r="G36" s="127" t="n">
        <v>0.15</v>
      </c>
      <c r="H36" s="127" t="n">
        <v>0.025</v>
      </c>
      <c r="I36" s="127" t="n">
        <v>0</v>
      </c>
      <c r="J36" s="127" t="n">
        <v>0</v>
      </c>
      <c r="K36" s="127" t="n">
        <v>-0.03</v>
      </c>
      <c r="L36" s="0" t="n">
        <v>-0.025</v>
      </c>
      <c r="M36" s="128" t="n">
        <v>0.59</v>
      </c>
      <c r="N36" s="0" t="n">
        <v>0.06</v>
      </c>
      <c r="O36" s="55" t="n">
        <v>1.66</v>
      </c>
      <c r="P36" s="55" t="n">
        <v>0.5</v>
      </c>
    </row>
    <row r="37" customFormat="false" ht="12.75" hidden="false" customHeight="false" outlineLevel="0" collapsed="false">
      <c r="A37" s="128"/>
      <c r="B37" s="128"/>
      <c r="C37" s="138" t="e">
        <f aca="false">NextMonth(C36)</f>
        <v>#VALUE!</v>
      </c>
      <c r="D37" s="127" t="n">
        <v>0.041244365611401</v>
      </c>
      <c r="E37" s="127" t="n">
        <v>3.939</v>
      </c>
      <c r="F37" s="127" t="n">
        <v>0.3625</v>
      </c>
      <c r="G37" s="127" t="n">
        <v>0.14</v>
      </c>
      <c r="H37" s="127" t="n">
        <v>0.025</v>
      </c>
      <c r="I37" s="127" t="n">
        <v>0</v>
      </c>
      <c r="J37" s="127" t="n">
        <v>0</v>
      </c>
      <c r="K37" s="127" t="n">
        <v>-0.0175</v>
      </c>
      <c r="L37" s="0" t="n">
        <v>-0.02</v>
      </c>
      <c r="M37" s="128" t="n">
        <v>0.59</v>
      </c>
      <c r="N37" s="0" t="n">
        <v>0.06</v>
      </c>
      <c r="O37" s="55" t="n">
        <v>0.72</v>
      </c>
      <c r="P37" s="55" t="n">
        <v>0.1</v>
      </c>
    </row>
    <row r="38" customFormat="false" ht="12.75" hidden="false" customHeight="false" outlineLevel="0" collapsed="false">
      <c r="A38" s="128"/>
      <c r="B38" s="128"/>
      <c r="C38" s="138" t="e">
        <f aca="false">NextMonth(C37)</f>
        <v>#VALUE!</v>
      </c>
      <c r="D38" s="127" t="n">
        <v>0.0417178003055803</v>
      </c>
      <c r="E38" s="127" t="n">
        <v>3.624</v>
      </c>
      <c r="F38" s="127" t="n">
        <v>0.3275</v>
      </c>
      <c r="G38" s="127" t="n">
        <v>0.045</v>
      </c>
      <c r="H38" s="127" t="n">
        <v>0.005</v>
      </c>
      <c r="I38" s="127" t="n">
        <v>0</v>
      </c>
      <c r="J38" s="127" t="n">
        <v>0</v>
      </c>
      <c r="K38" s="127" t="n">
        <v>0.02</v>
      </c>
      <c r="L38" s="0" t="n">
        <v>-0.015</v>
      </c>
      <c r="M38" s="128" t="n">
        <v>0.3</v>
      </c>
      <c r="N38" s="0" t="n">
        <v>0.08</v>
      </c>
      <c r="O38" s="55" t="n">
        <v>0.48</v>
      </c>
      <c r="P38" s="55" t="n">
        <v>0.02</v>
      </c>
    </row>
    <row r="39" customFormat="false" ht="12.75" hidden="false" customHeight="false" outlineLevel="0" collapsed="false">
      <c r="A39" s="128"/>
      <c r="B39" s="128"/>
      <c r="C39" s="138" t="e">
        <f aca="false">NextMonth(C38)</f>
        <v>#VALUE!</v>
      </c>
      <c r="D39" s="127" t="n">
        <v>0.0422017634205192</v>
      </c>
      <c r="E39" s="127" t="n">
        <v>3.599</v>
      </c>
      <c r="F39" s="127" t="n">
        <v>0.3225</v>
      </c>
      <c r="G39" s="127" t="n">
        <v>0.045</v>
      </c>
      <c r="H39" s="127" t="n">
        <v>0.005</v>
      </c>
      <c r="I39" s="127" t="n">
        <v>0</v>
      </c>
      <c r="J39" s="127" t="n">
        <v>0</v>
      </c>
      <c r="K39" s="127" t="n">
        <v>0.02</v>
      </c>
      <c r="L39" s="0" t="n">
        <v>-0.015</v>
      </c>
      <c r="M39" s="128" t="n">
        <v>0.3</v>
      </c>
      <c r="N39" s="0" t="n">
        <v>0.08</v>
      </c>
      <c r="O39" s="55" t="n">
        <v>0.42</v>
      </c>
      <c r="P39" s="55" t="n">
        <v>0.02</v>
      </c>
    </row>
    <row r="40" customFormat="false" ht="12.75" hidden="false" customHeight="false" outlineLevel="0" collapsed="false">
      <c r="A40" s="128"/>
      <c r="B40" s="128"/>
      <c r="C40" s="138" t="e">
        <f aca="false">NextMonth(C39)</f>
        <v>#VALUE!</v>
      </c>
      <c r="D40" s="127" t="n">
        <v>0.0427018587217591</v>
      </c>
      <c r="E40" s="127" t="n">
        <v>3.639</v>
      </c>
      <c r="F40" s="127" t="n">
        <v>0.3225</v>
      </c>
      <c r="G40" s="127" t="n">
        <v>0.045</v>
      </c>
      <c r="H40" s="127" t="n">
        <v>0.005</v>
      </c>
      <c r="I40" s="127" t="n">
        <v>0</v>
      </c>
      <c r="J40" s="127" t="n">
        <v>0</v>
      </c>
      <c r="K40" s="127" t="n">
        <v>0.025</v>
      </c>
      <c r="L40" s="0" t="n">
        <v>-0.015</v>
      </c>
      <c r="M40" s="128" t="n">
        <v>0.3</v>
      </c>
      <c r="N40" s="0" t="n">
        <v>0.08</v>
      </c>
      <c r="O40" s="55" t="n">
        <v>0.42</v>
      </c>
      <c r="P40" s="55" t="n">
        <v>0.035</v>
      </c>
    </row>
    <row r="41" customFormat="false" ht="12.75" hidden="false" customHeight="false" outlineLevel="0" collapsed="false">
      <c r="A41" s="128"/>
      <c r="B41" s="128"/>
      <c r="C41" s="138" t="e">
        <f aca="false">NextMonth(C40)</f>
        <v>#VALUE!</v>
      </c>
      <c r="D41" s="127" t="n">
        <v>0.0431717289063811</v>
      </c>
      <c r="E41" s="127" t="n">
        <v>3.686</v>
      </c>
      <c r="F41" s="127" t="n">
        <v>0.3225</v>
      </c>
      <c r="G41" s="127" t="n">
        <v>0.045</v>
      </c>
      <c r="H41" s="127" t="n">
        <v>0.005</v>
      </c>
      <c r="I41" s="127" t="n">
        <v>0</v>
      </c>
      <c r="J41" s="127" t="n">
        <v>0</v>
      </c>
      <c r="K41" s="127" t="n">
        <v>0.0275</v>
      </c>
      <c r="L41" s="0" t="n">
        <v>-0.01</v>
      </c>
      <c r="M41" s="128" t="n">
        <v>0.3</v>
      </c>
      <c r="N41" s="0" t="n">
        <v>0.08</v>
      </c>
      <c r="O41" s="55" t="n">
        <v>0.48</v>
      </c>
      <c r="P41" s="55" t="n">
        <v>0.035</v>
      </c>
    </row>
    <row r="42" customFormat="false" ht="12.75" hidden="false" customHeight="false" outlineLevel="0" collapsed="false">
      <c r="A42" s="128"/>
      <c r="B42" s="128"/>
      <c r="C42" s="138" t="e">
        <f aca="false">NextMonth(C41)</f>
        <v>#VALUE!</v>
      </c>
      <c r="D42" s="127" t="n">
        <v>0.0436370528422336</v>
      </c>
      <c r="E42" s="127" t="n">
        <v>3.714</v>
      </c>
      <c r="F42" s="127" t="n">
        <v>0.3225</v>
      </c>
      <c r="G42" s="127" t="n">
        <v>0.045</v>
      </c>
      <c r="H42" s="127" t="n">
        <v>0.005</v>
      </c>
      <c r="I42" s="127" t="n">
        <v>0</v>
      </c>
      <c r="J42" s="127" t="n">
        <v>0</v>
      </c>
      <c r="K42" s="127" t="n">
        <v>0.03</v>
      </c>
      <c r="L42" s="0" t="n">
        <v>-0.01</v>
      </c>
      <c r="M42" s="128" t="n">
        <v>0.3</v>
      </c>
      <c r="N42" s="0" t="n">
        <v>0.08</v>
      </c>
      <c r="O42" s="55" t="n">
        <v>0.48</v>
      </c>
      <c r="P42" s="55" t="n">
        <v>0.035</v>
      </c>
    </row>
    <row r="43" customFormat="false" ht="12.75" hidden="false" customHeight="false" outlineLevel="0" collapsed="false">
      <c r="A43" s="128"/>
      <c r="B43" s="128"/>
      <c r="C43" s="126" t="e">
        <f aca="false">NextMonth(C42)</f>
        <v>#VALUE!</v>
      </c>
      <c r="D43" s="127" t="n">
        <v>0.0441023768506059</v>
      </c>
      <c r="E43" s="127" t="n">
        <v>3.728</v>
      </c>
      <c r="F43" s="127" t="n">
        <v>0.3275</v>
      </c>
      <c r="G43" s="127" t="n">
        <v>0.045</v>
      </c>
      <c r="H43" s="127" t="n">
        <v>0.005</v>
      </c>
      <c r="I43" s="127" t="n">
        <v>0</v>
      </c>
      <c r="J43" s="127" t="n">
        <v>0</v>
      </c>
      <c r="K43" s="127" t="n">
        <v>0.0225</v>
      </c>
      <c r="L43" s="0" t="n">
        <v>-0.01</v>
      </c>
      <c r="M43" s="128" t="n">
        <v>0.3</v>
      </c>
      <c r="N43" s="0" t="n">
        <v>0.08</v>
      </c>
      <c r="O43" s="55" t="n">
        <v>0.44</v>
      </c>
      <c r="P43" s="55" t="n">
        <v>0.035</v>
      </c>
    </row>
    <row r="44" customFormat="false" ht="12.75" hidden="false" customHeight="false" outlineLevel="0" collapsed="false">
      <c r="A44" s="128"/>
      <c r="B44" s="128"/>
      <c r="C44" s="126" t="e">
        <f aca="false">NextMonth(C43)</f>
        <v>#VALUE!</v>
      </c>
      <c r="D44" s="127" t="n">
        <v>0.0445460655079617</v>
      </c>
      <c r="E44" s="127" t="n">
        <v>3.751</v>
      </c>
      <c r="F44" s="127" t="n">
        <v>0.33</v>
      </c>
      <c r="G44" s="127" t="n">
        <v>0.045</v>
      </c>
      <c r="H44" s="127" t="n">
        <v>0.005</v>
      </c>
      <c r="I44" s="127" t="n">
        <v>0</v>
      </c>
      <c r="J44" s="127" t="n">
        <v>0</v>
      </c>
      <c r="K44" s="127" t="n">
        <v>0.0125</v>
      </c>
      <c r="L44" s="0" t="n">
        <v>-0.015</v>
      </c>
      <c r="M44" s="128" t="n">
        <v>0.3</v>
      </c>
      <c r="N44" s="0" t="n">
        <v>0.08</v>
      </c>
      <c r="O44" s="55" t="n">
        <v>0.45</v>
      </c>
      <c r="P44" s="55" t="n">
        <v>0.035</v>
      </c>
    </row>
    <row r="45" customFormat="false" ht="12.75" hidden="false" customHeight="false" outlineLevel="0" collapsed="false">
      <c r="A45" s="128"/>
      <c r="B45" s="128"/>
      <c r="C45" s="126" t="e">
        <f aca="false">NextMonth(C44)</f>
        <v>#VALUE!</v>
      </c>
      <c r="D45" s="127" t="n">
        <v>0.0449962395133392</v>
      </c>
      <c r="E45" s="127" t="n">
        <v>3.886</v>
      </c>
      <c r="F45" s="127" t="n">
        <v>0.335</v>
      </c>
      <c r="G45" s="127" t="n">
        <v>0.14</v>
      </c>
      <c r="H45" s="127" t="n">
        <v>0.02</v>
      </c>
      <c r="I45" s="127" t="n">
        <v>0</v>
      </c>
      <c r="J45" s="127" t="n">
        <v>0</v>
      </c>
      <c r="K45" s="127" t="n">
        <v>-0.0225</v>
      </c>
      <c r="L45" s="0" t="n">
        <v>-0.02</v>
      </c>
      <c r="M45" s="128" t="n">
        <v>0.33</v>
      </c>
      <c r="N45" s="0" t="n">
        <v>0.08</v>
      </c>
      <c r="O45" s="55" t="n">
        <v>0.85</v>
      </c>
      <c r="P45" s="55" t="n">
        <v>0.1</v>
      </c>
    </row>
    <row r="46" customFormat="false" ht="12.75" hidden="false" customHeight="false" outlineLevel="0" collapsed="false">
      <c r="A46" s="128"/>
      <c r="B46" s="128"/>
      <c r="C46" s="126" t="e">
        <f aca="false">NextMonth(C45)</f>
        <v>#VALUE!</v>
      </c>
      <c r="D46" s="127" t="n">
        <v>0.0454318918411904</v>
      </c>
      <c r="E46" s="127" t="n">
        <v>4.026</v>
      </c>
      <c r="F46" s="127" t="n">
        <v>0.3375</v>
      </c>
      <c r="G46" s="127" t="n">
        <v>0.14</v>
      </c>
      <c r="H46" s="127" t="n">
        <v>0.02</v>
      </c>
      <c r="I46" s="127" t="n">
        <v>0</v>
      </c>
      <c r="J46" s="127" t="n">
        <v>0</v>
      </c>
      <c r="K46" s="127" t="n">
        <v>-0.045</v>
      </c>
      <c r="L46" s="0" t="n">
        <v>-0.025</v>
      </c>
      <c r="M46" s="128" t="n">
        <v>0.33</v>
      </c>
      <c r="N46" s="0" t="n">
        <v>0.08</v>
      </c>
      <c r="O46" s="55" t="n">
        <v>1.26</v>
      </c>
      <c r="P46" s="55" t="n">
        <v>0.3</v>
      </c>
    </row>
    <row r="47" customFormat="false" ht="12.75" hidden="false" customHeight="false" outlineLevel="0" collapsed="false">
      <c r="A47" s="128"/>
      <c r="B47" s="128"/>
      <c r="C47" s="126" t="e">
        <f aca="false">NextMonth(C46)</f>
        <v>#VALUE!</v>
      </c>
      <c r="D47" s="127" t="n">
        <v>0.0458665378845469</v>
      </c>
      <c r="E47" s="127" t="n">
        <v>4.076</v>
      </c>
      <c r="F47" s="127" t="n">
        <v>0.34</v>
      </c>
      <c r="G47" s="127" t="n">
        <v>0.14</v>
      </c>
      <c r="H47" s="127" t="n">
        <v>0.02</v>
      </c>
      <c r="I47" s="127" t="n">
        <v>0</v>
      </c>
      <c r="J47" s="127" t="n">
        <v>0</v>
      </c>
      <c r="K47" s="127" t="n">
        <v>-0.0475</v>
      </c>
      <c r="L47" s="0" t="n">
        <v>-0.025</v>
      </c>
      <c r="M47" s="128" t="n">
        <v>0.33</v>
      </c>
      <c r="N47" s="0" t="n">
        <v>0.08</v>
      </c>
      <c r="O47" s="55" t="n">
        <v>1.58</v>
      </c>
      <c r="P47" s="55" t="n">
        <v>0.5</v>
      </c>
    </row>
    <row r="48" customFormat="false" ht="12.75" hidden="false" customHeight="false" outlineLevel="0" collapsed="false">
      <c r="A48" s="128"/>
      <c r="B48" s="128"/>
      <c r="C48" s="126" t="e">
        <f aca="false">NextMonth(C47)</f>
        <v>#VALUE!</v>
      </c>
      <c r="D48" s="127" t="n">
        <v>0.0462846206869441</v>
      </c>
      <c r="E48" s="127" t="n">
        <v>3.958</v>
      </c>
      <c r="F48" s="127" t="n">
        <v>0.33</v>
      </c>
      <c r="G48" s="127" t="n">
        <v>0.14</v>
      </c>
      <c r="H48" s="127" t="n">
        <v>0.02</v>
      </c>
      <c r="I48" s="127" t="n">
        <v>0</v>
      </c>
      <c r="J48" s="127" t="n">
        <v>0</v>
      </c>
      <c r="K48" s="127" t="n">
        <v>-0.03</v>
      </c>
      <c r="L48" s="0" t="n">
        <v>-0.025</v>
      </c>
      <c r="M48" s="128" t="n">
        <v>0.33</v>
      </c>
      <c r="N48" s="0" t="n">
        <v>0.08</v>
      </c>
      <c r="O48" s="55" t="n">
        <v>1.54</v>
      </c>
      <c r="P48" s="55" t="n">
        <v>0.5</v>
      </c>
    </row>
    <row r="49" customFormat="false" ht="12.75" hidden="false" customHeight="false" outlineLevel="0" collapsed="false">
      <c r="A49" s="140"/>
      <c r="B49" s="140"/>
      <c r="C49" s="141" t="e">
        <f aca="false">NextMonth(C48)</f>
        <v>#VALUE!</v>
      </c>
      <c r="D49" s="142" t="n">
        <v>0.0466757304582459</v>
      </c>
      <c r="E49" s="142" t="n">
        <v>3.825</v>
      </c>
      <c r="F49" s="142" t="n">
        <v>0.32</v>
      </c>
      <c r="G49" s="142" t="n">
        <v>0.14</v>
      </c>
      <c r="H49" s="142" t="n">
        <v>0.02</v>
      </c>
      <c r="I49" s="142" t="n">
        <v>0</v>
      </c>
      <c r="J49" s="142" t="n">
        <v>0</v>
      </c>
      <c r="K49" s="142" t="n">
        <v>-0.0175</v>
      </c>
      <c r="L49" s="143" t="n">
        <v>-0.02</v>
      </c>
      <c r="M49" s="140" t="n">
        <v>0.33</v>
      </c>
      <c r="N49" s="143" t="n">
        <v>0.08</v>
      </c>
      <c r="O49" s="144" t="n">
        <v>0.92</v>
      </c>
      <c r="P49" s="144" t="n">
        <v>0.1</v>
      </c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  <c r="BK49" s="140"/>
      <c r="BL49" s="140"/>
      <c r="BM49" s="140"/>
      <c r="BN49" s="140"/>
      <c r="BO49" s="140"/>
      <c r="BP49" s="140"/>
      <c r="BQ49" s="140"/>
      <c r="BR49" s="140"/>
      <c r="BS49" s="140"/>
      <c r="BT49" s="140"/>
      <c r="BU49" s="140"/>
      <c r="BV49" s="140"/>
      <c r="BW49" s="140"/>
      <c r="BX49" s="140"/>
      <c r="BY49" s="140"/>
      <c r="BZ49" s="140"/>
      <c r="CA49" s="140"/>
      <c r="CB49" s="140"/>
      <c r="CC49" s="140"/>
      <c r="CD49" s="140"/>
      <c r="CE49" s="140"/>
      <c r="CF49" s="140"/>
      <c r="CG49" s="140"/>
      <c r="CH49" s="140"/>
      <c r="CI49" s="140"/>
      <c r="CJ49" s="140"/>
      <c r="CK49" s="140"/>
      <c r="CL49" s="140"/>
      <c r="CM49" s="140"/>
      <c r="CN49" s="140"/>
      <c r="CO49" s="140"/>
      <c r="CP49" s="140"/>
      <c r="CQ49" s="140"/>
      <c r="CR49" s="140"/>
      <c r="CS49" s="140"/>
      <c r="CT49" s="140"/>
      <c r="CU49" s="140"/>
      <c r="CV49" s="140"/>
      <c r="CW49" s="140"/>
      <c r="CX49" s="140"/>
      <c r="CY49" s="140"/>
      <c r="CZ49" s="140"/>
      <c r="DA49" s="140"/>
      <c r="DB49" s="140"/>
      <c r="DC49" s="140"/>
      <c r="DD49" s="140"/>
      <c r="DE49" s="140"/>
      <c r="DF49" s="140"/>
      <c r="DG49" s="140"/>
      <c r="DH49" s="140"/>
      <c r="DI49" s="140"/>
      <c r="DJ49" s="140"/>
      <c r="DK49" s="140"/>
      <c r="DL49" s="140"/>
      <c r="DM49" s="140"/>
      <c r="DN49" s="140"/>
      <c r="DO49" s="140"/>
      <c r="DP49" s="140"/>
      <c r="DQ49" s="140"/>
      <c r="DR49" s="140"/>
      <c r="DS49" s="140"/>
      <c r="DT49" s="140"/>
      <c r="DU49" s="140"/>
      <c r="DV49" s="140"/>
      <c r="DW49" s="140"/>
      <c r="DX49" s="140"/>
      <c r="DY49" s="140"/>
      <c r="DZ49" s="140"/>
      <c r="EA49" s="140"/>
      <c r="EB49" s="140"/>
      <c r="EC49" s="140"/>
      <c r="ED49" s="140"/>
      <c r="EE49" s="140"/>
      <c r="EF49" s="140"/>
      <c r="EG49" s="140"/>
      <c r="EH49" s="140"/>
      <c r="EI49" s="140"/>
      <c r="EJ49" s="140"/>
      <c r="EK49" s="140"/>
      <c r="EL49" s="140"/>
      <c r="EM49" s="140"/>
      <c r="EN49" s="140"/>
      <c r="EO49" s="140"/>
      <c r="EP49" s="140"/>
      <c r="EQ49" s="140"/>
      <c r="ER49" s="140"/>
      <c r="ES49" s="140"/>
      <c r="ET49" s="140"/>
      <c r="EU49" s="140"/>
      <c r="EV49" s="140"/>
      <c r="EW49" s="140"/>
      <c r="EX49" s="140"/>
      <c r="EY49" s="140"/>
      <c r="EZ49" s="140"/>
      <c r="FA49" s="140"/>
      <c r="FB49" s="140"/>
      <c r="FC49" s="140"/>
      <c r="FD49" s="140"/>
      <c r="FE49" s="140"/>
      <c r="FF49" s="140"/>
      <c r="FG49" s="140"/>
      <c r="FH49" s="140"/>
      <c r="FI49" s="140"/>
      <c r="FJ49" s="140"/>
      <c r="FK49" s="140"/>
      <c r="FL49" s="140"/>
      <c r="FM49" s="140"/>
      <c r="FN49" s="140"/>
      <c r="FO49" s="140"/>
      <c r="FP49" s="140"/>
      <c r="FQ49" s="140"/>
      <c r="FR49" s="140"/>
      <c r="FS49" s="140"/>
      <c r="FT49" s="140"/>
      <c r="FU49" s="140"/>
      <c r="FV49" s="140"/>
      <c r="FW49" s="140"/>
      <c r="FX49" s="140"/>
      <c r="FY49" s="140"/>
      <c r="FZ49" s="140"/>
      <c r="GA49" s="140"/>
      <c r="GB49" s="140"/>
      <c r="GC49" s="140"/>
      <c r="GD49" s="140"/>
      <c r="GE49" s="140"/>
      <c r="GF49" s="140"/>
      <c r="GG49" s="140"/>
      <c r="GH49" s="140"/>
      <c r="GI49" s="140"/>
      <c r="GJ49" s="140"/>
      <c r="GK49" s="140"/>
      <c r="GL49" s="140"/>
      <c r="GM49" s="140"/>
      <c r="GN49" s="140"/>
      <c r="GO49" s="140"/>
      <c r="GP49" s="140"/>
      <c r="GQ49" s="140"/>
      <c r="GR49" s="140"/>
      <c r="GS49" s="140"/>
      <c r="GT49" s="140"/>
      <c r="GU49" s="140"/>
      <c r="GV49" s="140"/>
      <c r="GW49" s="140"/>
      <c r="GX49" s="140"/>
      <c r="GY49" s="140"/>
      <c r="GZ49" s="140"/>
      <c r="HA49" s="140"/>
      <c r="HB49" s="140"/>
      <c r="HC49" s="140"/>
      <c r="HD49" s="140"/>
      <c r="HE49" s="140"/>
      <c r="HF49" s="140"/>
      <c r="HG49" s="140"/>
      <c r="HH49" s="140"/>
      <c r="HI49" s="140"/>
      <c r="HJ49" s="140"/>
      <c r="HK49" s="140"/>
      <c r="HL49" s="140"/>
      <c r="HM49" s="140"/>
      <c r="HN49" s="140"/>
      <c r="HO49" s="140"/>
      <c r="HP49" s="140"/>
      <c r="HQ49" s="140"/>
      <c r="HR49" s="140"/>
      <c r="HS49" s="140"/>
      <c r="HT49" s="140"/>
      <c r="HU49" s="140"/>
      <c r="HV49" s="140"/>
      <c r="HW49" s="140"/>
      <c r="HX49" s="140"/>
      <c r="HY49" s="140"/>
      <c r="HZ49" s="140"/>
      <c r="IA49" s="140"/>
      <c r="IB49" s="140"/>
      <c r="IC49" s="140"/>
      <c r="ID49" s="140"/>
      <c r="IE49" s="140"/>
      <c r="IF49" s="140"/>
      <c r="IG49" s="140"/>
      <c r="IH49" s="140"/>
      <c r="II49" s="140"/>
      <c r="IJ49" s="140"/>
      <c r="IK49" s="140"/>
      <c r="IL49" s="140"/>
      <c r="IM49" s="140"/>
      <c r="IN49" s="140"/>
      <c r="IO49" s="140"/>
      <c r="IP49" s="140"/>
      <c r="IQ49" s="140"/>
      <c r="IR49" s="140"/>
      <c r="IS49" s="140"/>
      <c r="IT49" s="140"/>
      <c r="IU49" s="140"/>
      <c r="IV49" s="140"/>
      <c r="IW49" s="140"/>
    </row>
    <row r="50" customFormat="false" ht="12.75" hidden="false" customHeight="false" outlineLevel="0" collapsed="false">
      <c r="A50" s="128"/>
      <c r="B50" s="128"/>
      <c r="C50" s="126" t="e">
        <f aca="false">NextMonth(C49)</f>
        <v>#VALUE!</v>
      </c>
      <c r="D50" s="127" t="n">
        <v>0.0470840164901847</v>
      </c>
      <c r="E50" s="127" t="n">
        <v>3.61</v>
      </c>
      <c r="F50" s="127" t="n">
        <v>0.305</v>
      </c>
      <c r="G50" s="127" t="n">
        <v>0.045</v>
      </c>
      <c r="H50" s="127" t="n">
        <v>0.005</v>
      </c>
      <c r="I50" s="127" t="n">
        <v>0</v>
      </c>
      <c r="J50" s="127" t="n">
        <v>0</v>
      </c>
      <c r="K50" s="127" t="n">
        <v>0.0175</v>
      </c>
      <c r="L50" s="0" t="n">
        <v>-0.015</v>
      </c>
      <c r="M50" s="128" t="n">
        <v>0.28</v>
      </c>
      <c r="N50" s="0" t="n">
        <v>0.07</v>
      </c>
      <c r="O50" s="55" t="n">
        <v>0.48</v>
      </c>
      <c r="P50" s="55" t="n">
        <v>0.02</v>
      </c>
    </row>
    <row r="51" customFormat="false" ht="12.75" hidden="false" customHeight="false" outlineLevel="0" collapsed="false">
      <c r="A51" s="128"/>
      <c r="B51" s="128"/>
      <c r="C51" s="126" t="e">
        <f aca="false">NextMonth(C50)</f>
        <v>#VALUE!</v>
      </c>
      <c r="D51" s="127" t="n">
        <v>0.0474690191446188</v>
      </c>
      <c r="E51" s="127" t="n">
        <v>3.6</v>
      </c>
      <c r="F51" s="127" t="n">
        <v>0.3025</v>
      </c>
      <c r="G51" s="127" t="n">
        <v>0.045</v>
      </c>
      <c r="H51" s="127" t="n">
        <v>0.005</v>
      </c>
      <c r="I51" s="127" t="n">
        <v>0</v>
      </c>
      <c r="J51" s="127" t="n">
        <v>0</v>
      </c>
      <c r="K51" s="127" t="n">
        <v>0.0175</v>
      </c>
      <c r="L51" s="0" t="n">
        <v>-0.015</v>
      </c>
      <c r="M51" s="128" t="n">
        <v>0.28</v>
      </c>
      <c r="N51" s="0" t="n">
        <v>0.07</v>
      </c>
      <c r="O51" s="55" t="n">
        <v>0.42</v>
      </c>
      <c r="P51" s="55" t="n">
        <v>0.02</v>
      </c>
    </row>
    <row r="52" customFormat="false" ht="12.75" hidden="false" customHeight="false" outlineLevel="0" collapsed="false">
      <c r="A52" s="128"/>
      <c r="B52" s="128"/>
      <c r="C52" s="126" t="e">
        <f aca="false">NextMonth(C51)</f>
        <v>#VALUE!</v>
      </c>
      <c r="D52" s="127" t="n">
        <v>0.0478668552729236</v>
      </c>
      <c r="E52" s="127" t="n">
        <v>3.636</v>
      </c>
      <c r="F52" s="127" t="n">
        <v>0.3025</v>
      </c>
      <c r="G52" s="127" t="n">
        <v>0.045</v>
      </c>
      <c r="H52" s="127" t="n">
        <v>0.005</v>
      </c>
      <c r="I52" s="127" t="n">
        <v>0</v>
      </c>
      <c r="J52" s="127" t="n">
        <v>0</v>
      </c>
      <c r="K52" s="127" t="n">
        <v>0.0225</v>
      </c>
      <c r="L52" s="0" t="n">
        <v>-0.015</v>
      </c>
      <c r="M52" s="128" t="n">
        <v>0.28</v>
      </c>
      <c r="N52" s="0" t="n">
        <v>0.07</v>
      </c>
      <c r="O52" s="55" t="n">
        <v>0.42</v>
      </c>
      <c r="P52" s="55" t="n">
        <v>0.035</v>
      </c>
    </row>
    <row r="53" customFormat="false" ht="12.75" hidden="false" customHeight="false" outlineLevel="0" collapsed="false">
      <c r="A53" s="128"/>
      <c r="B53" s="128"/>
      <c r="C53" s="126" t="e">
        <f aca="false">NextMonth(C52)</f>
        <v>#VALUE!</v>
      </c>
      <c r="D53" s="127" t="n">
        <v>0.0482260944828585</v>
      </c>
      <c r="E53" s="127" t="n">
        <v>3.681</v>
      </c>
      <c r="F53" s="127" t="n">
        <v>0.3025</v>
      </c>
      <c r="G53" s="127" t="n">
        <v>0.045</v>
      </c>
      <c r="H53" s="127" t="n">
        <v>0.005</v>
      </c>
      <c r="I53" s="127" t="n">
        <v>0</v>
      </c>
      <c r="J53" s="127" t="n">
        <v>0</v>
      </c>
      <c r="K53" s="127" t="n">
        <v>0.025</v>
      </c>
      <c r="L53" s="0" t="n">
        <v>-0.01</v>
      </c>
      <c r="M53" s="128" t="n">
        <v>0.28</v>
      </c>
      <c r="N53" s="0" t="n">
        <v>0.07</v>
      </c>
      <c r="O53" s="55" t="n">
        <v>0.48</v>
      </c>
      <c r="P53" s="55" t="n">
        <v>0.035</v>
      </c>
    </row>
    <row r="54" customFormat="false" ht="12.75" hidden="false" customHeight="false" outlineLevel="0" collapsed="false">
      <c r="A54" s="128"/>
      <c r="B54" s="128"/>
      <c r="C54" s="126" t="e">
        <f aca="false">NextMonth(C53)</f>
        <v>#VALUE!</v>
      </c>
      <c r="D54" s="127" t="n">
        <v>0.048569013796973</v>
      </c>
      <c r="E54" s="127" t="n">
        <v>3.729</v>
      </c>
      <c r="F54" s="127" t="n">
        <v>0.3025</v>
      </c>
      <c r="G54" s="127" t="n">
        <v>0.045</v>
      </c>
      <c r="H54" s="127" t="n">
        <v>0.005</v>
      </c>
      <c r="I54" s="127" t="n">
        <v>0</v>
      </c>
      <c r="J54" s="127" t="n">
        <v>0</v>
      </c>
      <c r="K54" s="127" t="n">
        <v>0.0275</v>
      </c>
      <c r="L54" s="0" t="n">
        <v>-0.01</v>
      </c>
      <c r="M54" s="128" t="n">
        <v>0.28</v>
      </c>
      <c r="N54" s="0" t="n">
        <v>0.07</v>
      </c>
      <c r="O54" s="55" t="n">
        <v>0.48</v>
      </c>
      <c r="P54" s="55" t="n">
        <v>0.035</v>
      </c>
    </row>
    <row r="55" customFormat="false" ht="12.75" hidden="false" customHeight="false" outlineLevel="0" collapsed="false">
      <c r="A55" s="128"/>
      <c r="B55" s="128"/>
      <c r="C55" s="126" t="e">
        <f aca="false">NextMonth(C54)</f>
        <v>#VALUE!</v>
      </c>
      <c r="D55" s="127" t="n">
        <v>0.0489119331503778</v>
      </c>
      <c r="E55" s="127" t="n">
        <v>3.743</v>
      </c>
      <c r="F55" s="127" t="n">
        <v>0.3025</v>
      </c>
      <c r="G55" s="127" t="n">
        <v>0.045</v>
      </c>
      <c r="H55" s="127" t="n">
        <v>0.005</v>
      </c>
      <c r="I55" s="127" t="n">
        <v>0</v>
      </c>
      <c r="J55" s="127" t="n">
        <v>0</v>
      </c>
      <c r="K55" s="127" t="n">
        <v>0.02</v>
      </c>
      <c r="L55" s="0" t="n">
        <v>-0.01</v>
      </c>
      <c r="M55" s="128" t="n">
        <v>0.28</v>
      </c>
      <c r="N55" s="0" t="n">
        <v>0.07</v>
      </c>
      <c r="O55" s="55" t="n">
        <v>0.44</v>
      </c>
      <c r="P55" s="55" t="n">
        <v>0.035</v>
      </c>
    </row>
    <row r="56" customFormat="false" ht="12.75" hidden="false" customHeight="false" outlineLevel="0" collapsed="false">
      <c r="A56" s="128"/>
      <c r="B56" s="128"/>
      <c r="C56" s="126" t="e">
        <f aca="false">NextMonth(C55)</f>
        <v>#VALUE!</v>
      </c>
      <c r="D56" s="127" t="n">
        <v>0.0492307335479127</v>
      </c>
      <c r="E56" s="127" t="n">
        <v>3.771</v>
      </c>
      <c r="F56" s="127" t="n">
        <v>0.305</v>
      </c>
      <c r="G56" s="127" t="n">
        <v>0.045</v>
      </c>
      <c r="H56" s="127" t="n">
        <v>0.005</v>
      </c>
      <c r="I56" s="127" t="n">
        <v>0</v>
      </c>
      <c r="J56" s="127" t="n">
        <v>0</v>
      </c>
      <c r="K56" s="127" t="n">
        <v>0.01</v>
      </c>
      <c r="L56" s="0" t="n">
        <v>-0.015</v>
      </c>
      <c r="M56" s="128" t="n">
        <v>0.28</v>
      </c>
      <c r="N56" s="0" t="n">
        <v>0.07</v>
      </c>
      <c r="O56" s="55" t="n">
        <v>0.45</v>
      </c>
      <c r="P56" s="55" t="n">
        <v>0.035</v>
      </c>
    </row>
    <row r="57" customFormat="false" ht="12.75" hidden="false" customHeight="false" outlineLevel="0" collapsed="false">
      <c r="A57" s="128"/>
      <c r="B57" s="128"/>
      <c r="C57" s="126" t="e">
        <f aca="false">NextMonth(C56)</f>
        <v>#VALUE!</v>
      </c>
      <c r="D57" s="127" t="n">
        <v>0.0495476030088757</v>
      </c>
      <c r="E57" s="127" t="n">
        <v>3.906</v>
      </c>
      <c r="F57" s="127" t="n">
        <v>0.305</v>
      </c>
      <c r="G57" s="127" t="n">
        <v>0.14</v>
      </c>
      <c r="H57" s="127" t="n">
        <v>0.02</v>
      </c>
      <c r="I57" s="127" t="n">
        <v>0</v>
      </c>
      <c r="J57" s="127" t="n">
        <v>0</v>
      </c>
      <c r="K57" s="127" t="n">
        <v>-0.02</v>
      </c>
      <c r="L57" s="0" t="n">
        <v>-0.02</v>
      </c>
      <c r="M57" s="128" t="n">
        <v>0.32</v>
      </c>
      <c r="N57" s="0" t="n">
        <v>0.09</v>
      </c>
      <c r="O57" s="55" t="n">
        <v>0.855</v>
      </c>
      <c r="P57" s="55" t="n">
        <v>0.1</v>
      </c>
    </row>
    <row r="58" customFormat="false" ht="12.75" hidden="false" customHeight="false" outlineLevel="0" collapsed="false">
      <c r="A58" s="128"/>
      <c r="B58" s="128"/>
      <c r="C58" s="126" t="e">
        <f aca="false">NextMonth(C57)</f>
        <v>#VALUE!</v>
      </c>
      <c r="D58" s="127" t="n">
        <v>0.0498542509062507</v>
      </c>
      <c r="E58" s="127" t="n">
        <v>4.041</v>
      </c>
      <c r="F58" s="127" t="n">
        <v>0.3075</v>
      </c>
      <c r="G58" s="127" t="n">
        <v>0.14</v>
      </c>
      <c r="H58" s="127" t="n">
        <v>0.02</v>
      </c>
      <c r="I58" s="127" t="n">
        <v>0</v>
      </c>
      <c r="J58" s="127" t="n">
        <v>0</v>
      </c>
      <c r="K58" s="127" t="n">
        <v>-0.0425</v>
      </c>
      <c r="L58" s="0" t="n">
        <v>-0.025</v>
      </c>
      <c r="M58" s="128" t="n">
        <v>0.32</v>
      </c>
      <c r="N58" s="0" t="n">
        <v>0.09</v>
      </c>
      <c r="O58" s="55" t="n">
        <v>1.27</v>
      </c>
      <c r="P58" s="55" t="n">
        <v>0.3</v>
      </c>
    </row>
    <row r="59" customFormat="false" ht="12.75" hidden="false" customHeight="false" outlineLevel="0" collapsed="false">
      <c r="A59" s="128"/>
      <c r="B59" s="128"/>
      <c r="C59" s="126" t="e">
        <f aca="false">NextMonth(C58)</f>
        <v>#VALUE!</v>
      </c>
      <c r="D59" s="127" t="n">
        <v>0.0501582245554078</v>
      </c>
      <c r="E59" s="127" t="n">
        <v>4.101</v>
      </c>
      <c r="F59" s="127" t="n">
        <v>0.3125</v>
      </c>
      <c r="G59" s="127" t="n">
        <v>0.14</v>
      </c>
      <c r="H59" s="127" t="n">
        <v>0.02</v>
      </c>
      <c r="I59" s="127" t="n">
        <v>0</v>
      </c>
      <c r="J59" s="127" t="n">
        <v>0</v>
      </c>
      <c r="K59" s="127" t="n">
        <v>-0.045</v>
      </c>
      <c r="L59" s="0" t="n">
        <v>-0.025</v>
      </c>
      <c r="M59" s="128" t="n">
        <v>0.32</v>
      </c>
      <c r="N59" s="0" t="n">
        <v>0.09</v>
      </c>
      <c r="O59" s="55" t="n">
        <v>1.595</v>
      </c>
      <c r="P59" s="55" t="n">
        <v>0.5</v>
      </c>
    </row>
    <row r="60" customFormat="false" ht="12.75" hidden="false" customHeight="false" outlineLevel="0" collapsed="false">
      <c r="A60" s="128"/>
      <c r="B60" s="128"/>
      <c r="C60" s="126" t="e">
        <f aca="false">NextMonth(C59)</f>
        <v>#VALUE!</v>
      </c>
      <c r="D60" s="127" t="n">
        <v>0.0504515780997332</v>
      </c>
      <c r="E60" s="127" t="n">
        <v>3.983</v>
      </c>
      <c r="F60" s="127" t="n">
        <v>0.3025</v>
      </c>
      <c r="G60" s="127" t="n">
        <v>0.14</v>
      </c>
      <c r="H60" s="127" t="n">
        <v>0.02</v>
      </c>
      <c r="I60" s="127" t="n">
        <v>0</v>
      </c>
      <c r="J60" s="127" t="n">
        <v>0</v>
      </c>
      <c r="K60" s="127" t="n">
        <v>-0.0275</v>
      </c>
      <c r="L60" s="0" t="n">
        <v>-0.025</v>
      </c>
      <c r="M60" s="128" t="n">
        <v>0.32</v>
      </c>
      <c r="N60" s="0" t="n">
        <v>0.09</v>
      </c>
      <c r="O60" s="55" t="n">
        <v>1.555</v>
      </c>
      <c r="P60" s="55" t="n">
        <v>0.5</v>
      </c>
    </row>
    <row r="61" customFormat="false" ht="12.75" hidden="false" customHeight="false" outlineLevel="0" collapsed="false">
      <c r="A61" s="128"/>
      <c r="B61" s="128"/>
      <c r="C61" s="126" t="e">
        <f aca="false">NextMonth(C60)</f>
        <v>#VALUE!</v>
      </c>
      <c r="D61" s="127" t="n">
        <v>0.0507165426160729</v>
      </c>
      <c r="E61" s="127" t="n">
        <v>3.85</v>
      </c>
      <c r="F61" s="127" t="n">
        <v>0.2925</v>
      </c>
      <c r="G61" s="127" t="n">
        <v>0.14</v>
      </c>
      <c r="H61" s="127" t="n">
        <v>0.02</v>
      </c>
      <c r="I61" s="127" t="n">
        <v>0</v>
      </c>
      <c r="J61" s="127" t="n">
        <v>0</v>
      </c>
      <c r="K61" s="127" t="n">
        <v>-0.015</v>
      </c>
      <c r="L61" s="0" t="n">
        <v>-0.02</v>
      </c>
      <c r="M61" s="128" t="n">
        <v>0.32</v>
      </c>
      <c r="N61" s="0" t="n">
        <v>0.09</v>
      </c>
      <c r="O61" s="55" t="n">
        <v>0.925</v>
      </c>
      <c r="P61" s="55" t="n">
        <v>0.1</v>
      </c>
    </row>
    <row r="62" customFormat="false" ht="12.75" hidden="false" customHeight="false" outlineLevel="0" collapsed="false">
      <c r="A62" s="128"/>
      <c r="B62" s="128"/>
      <c r="C62" s="126" t="e">
        <f aca="false">NextMonth(C61)</f>
        <v>#VALUE!</v>
      </c>
      <c r="D62" s="127" t="n">
        <v>0.0510046063353631</v>
      </c>
      <c r="E62" s="127" t="n">
        <v>3.635</v>
      </c>
      <c r="F62" s="127" t="n">
        <v>0.2825</v>
      </c>
      <c r="G62" s="127" t="n">
        <v>0.04</v>
      </c>
      <c r="H62" s="127" t="n">
        <v>0.005</v>
      </c>
      <c r="I62" s="127" t="n">
        <v>0</v>
      </c>
      <c r="J62" s="127" t="n">
        <v>0</v>
      </c>
      <c r="K62" s="127" t="n">
        <v>0.0175</v>
      </c>
      <c r="L62" s="0" t="n">
        <v>-0.015</v>
      </c>
      <c r="M62" s="128" t="n">
        <v>0.28</v>
      </c>
      <c r="N62" s="0" t="n">
        <v>0.06</v>
      </c>
      <c r="O62" s="55" t="n">
        <v>0.48</v>
      </c>
      <c r="P62" s="55" t="n">
        <v>0.02</v>
      </c>
    </row>
    <row r="63" customFormat="false" ht="12.75" hidden="false" customHeight="false" outlineLevel="0" collapsed="false">
      <c r="A63" s="128"/>
      <c r="B63" s="128"/>
      <c r="C63" s="126" t="e">
        <f aca="false">NextMonth(C62)</f>
        <v>#VALUE!</v>
      </c>
      <c r="D63" s="127" t="n">
        <v>0.0512774100472662</v>
      </c>
      <c r="E63" s="127" t="n">
        <v>3.625</v>
      </c>
      <c r="F63" s="127" t="n">
        <v>0.275</v>
      </c>
      <c r="G63" s="127" t="n">
        <v>0.04</v>
      </c>
      <c r="H63" s="127" t="n">
        <v>0.005</v>
      </c>
      <c r="I63" s="127" t="n">
        <v>0</v>
      </c>
      <c r="J63" s="127" t="n">
        <v>0</v>
      </c>
      <c r="K63" s="127" t="n">
        <v>0.0175</v>
      </c>
      <c r="L63" s="0" t="n">
        <v>-0.015</v>
      </c>
      <c r="M63" s="128" t="n">
        <v>0.28</v>
      </c>
      <c r="N63" s="0" t="n">
        <v>0.06</v>
      </c>
      <c r="O63" s="55" t="n">
        <v>0.42</v>
      </c>
      <c r="P63" s="55" t="n">
        <v>0.02</v>
      </c>
    </row>
    <row r="64" customFormat="false" ht="12.75" hidden="false" customHeight="false" outlineLevel="0" collapsed="false">
      <c r="A64" s="128"/>
      <c r="B64" s="128"/>
      <c r="C64" s="126" t="e">
        <f aca="false">NextMonth(C63)</f>
        <v>#VALUE!</v>
      </c>
      <c r="D64" s="127" t="n">
        <v>0.051559307242321</v>
      </c>
      <c r="E64" s="127" t="n">
        <v>3.661</v>
      </c>
      <c r="F64" s="127" t="n">
        <v>0.27</v>
      </c>
      <c r="G64" s="127" t="n">
        <v>0.04</v>
      </c>
      <c r="H64" s="127" t="n">
        <v>0.005</v>
      </c>
      <c r="I64" s="127" t="n">
        <v>0</v>
      </c>
      <c r="J64" s="127" t="n">
        <v>0</v>
      </c>
      <c r="K64" s="127" t="n">
        <v>0.0225</v>
      </c>
      <c r="L64" s="0" t="n">
        <v>-0.015</v>
      </c>
      <c r="M64" s="128" t="n">
        <v>0.28</v>
      </c>
      <c r="N64" s="0" t="n">
        <v>0.06</v>
      </c>
      <c r="O64" s="55" t="n">
        <v>0.42</v>
      </c>
      <c r="P64" s="55" t="n">
        <v>0.035</v>
      </c>
    </row>
    <row r="65" customFormat="false" ht="12.75" hidden="false" customHeight="false" outlineLevel="0" collapsed="false">
      <c r="A65" s="128"/>
      <c r="B65" s="128"/>
      <c r="C65" s="126" t="e">
        <f aca="false">NextMonth(C64)</f>
        <v>#VALUE!</v>
      </c>
      <c r="D65" s="127" t="n">
        <v>0.0518697469569882</v>
      </c>
      <c r="E65" s="127" t="n">
        <v>3.706</v>
      </c>
      <c r="F65" s="127" t="n">
        <v>0.27</v>
      </c>
      <c r="G65" s="127" t="n">
        <v>0.04</v>
      </c>
      <c r="H65" s="127" t="n">
        <v>0.005</v>
      </c>
      <c r="I65" s="127" t="n">
        <v>0</v>
      </c>
      <c r="J65" s="127" t="n">
        <v>0</v>
      </c>
      <c r="K65" s="127" t="n">
        <v>0.025</v>
      </c>
      <c r="L65" s="0" t="n">
        <v>-0.01</v>
      </c>
      <c r="M65" s="128" t="n">
        <v>0.28</v>
      </c>
      <c r="N65" s="0" t="n">
        <v>0.06</v>
      </c>
      <c r="O65" s="55" t="n">
        <v>0.48</v>
      </c>
      <c r="P65" s="55" t="n">
        <v>0.035</v>
      </c>
    </row>
    <row r="66" customFormat="false" ht="12.75" hidden="false" customHeight="false" outlineLevel="0" collapsed="false">
      <c r="A66" s="128"/>
      <c r="B66" s="128"/>
      <c r="C66" s="126" t="e">
        <f aca="false">NextMonth(C65)</f>
        <v>#VALUE!</v>
      </c>
      <c r="D66" s="127" t="n">
        <v>0.0522294251845921</v>
      </c>
      <c r="E66" s="127" t="n">
        <v>3.754</v>
      </c>
      <c r="F66" s="127" t="n">
        <v>0.27</v>
      </c>
      <c r="G66" s="127" t="n">
        <v>0.04</v>
      </c>
      <c r="H66" s="127" t="n">
        <v>0.005</v>
      </c>
      <c r="I66" s="127" t="n">
        <v>0</v>
      </c>
      <c r="J66" s="127" t="n">
        <v>0</v>
      </c>
      <c r="K66" s="127" t="n">
        <v>0.0275</v>
      </c>
      <c r="L66" s="0" t="n">
        <v>-0.01</v>
      </c>
      <c r="M66" s="128" t="n">
        <v>0.28</v>
      </c>
      <c r="N66" s="0" t="n">
        <v>0.06</v>
      </c>
      <c r="O66" s="55" t="n">
        <v>0.48</v>
      </c>
      <c r="P66" s="55" t="n">
        <v>0.035</v>
      </c>
    </row>
    <row r="67" customFormat="false" ht="12.75" hidden="false" customHeight="false" outlineLevel="0" collapsed="false">
      <c r="A67" s="128"/>
      <c r="B67" s="128"/>
      <c r="C67" s="126" t="e">
        <f aca="false">NextMonth(C66)</f>
        <v>#VALUE!</v>
      </c>
      <c r="D67" s="127" t="n">
        <v>0.0525891034553423</v>
      </c>
      <c r="E67" s="127" t="n">
        <v>3.768</v>
      </c>
      <c r="F67" s="127" t="n">
        <v>0.27</v>
      </c>
      <c r="G67" s="127" t="n">
        <v>0.04</v>
      </c>
      <c r="H67" s="127" t="n">
        <v>0.005</v>
      </c>
      <c r="I67" s="127" t="n">
        <v>0</v>
      </c>
      <c r="J67" s="127" t="n">
        <v>0</v>
      </c>
      <c r="K67" s="127" t="n">
        <v>0.02</v>
      </c>
      <c r="L67" s="0" t="n">
        <v>-0.01</v>
      </c>
      <c r="M67" s="128" t="n">
        <v>0.28</v>
      </c>
      <c r="N67" s="0" t="n">
        <v>0.06</v>
      </c>
      <c r="O67" s="55" t="n">
        <v>0.44</v>
      </c>
      <c r="P67" s="55" t="n">
        <v>0.035</v>
      </c>
    </row>
    <row r="68" customFormat="false" ht="12.75" hidden="false" customHeight="false" outlineLevel="0" collapsed="false">
      <c r="A68" s="128"/>
      <c r="B68" s="128"/>
      <c r="C68" s="126" t="e">
        <f aca="false">NextMonth(C67)</f>
        <v>#VALUE!</v>
      </c>
      <c r="D68" s="127" t="n">
        <v>0.0529371792423046</v>
      </c>
      <c r="E68" s="127" t="n">
        <v>3.796</v>
      </c>
      <c r="F68" s="127" t="n">
        <v>0.27</v>
      </c>
      <c r="G68" s="127" t="n">
        <v>0.04</v>
      </c>
      <c r="H68" s="127" t="n">
        <v>0.005</v>
      </c>
      <c r="I68" s="127" t="n">
        <v>0</v>
      </c>
      <c r="J68" s="127" t="n">
        <v>0</v>
      </c>
      <c r="K68" s="127" t="n">
        <v>0.01</v>
      </c>
      <c r="L68" s="0" t="n">
        <v>-0.015</v>
      </c>
      <c r="M68" s="128" t="n">
        <v>0.28</v>
      </c>
      <c r="N68" s="0" t="n">
        <v>0.06</v>
      </c>
      <c r="O68" s="55" t="n">
        <v>0.45</v>
      </c>
      <c r="P68" s="55" t="n">
        <v>0.035</v>
      </c>
    </row>
    <row r="69" customFormat="false" ht="12.75" hidden="false" customHeight="false" outlineLevel="0" collapsed="false">
      <c r="A69" s="128"/>
      <c r="B69" s="128"/>
      <c r="C69" s="126" t="e">
        <f aca="false">NextMonth(C68)</f>
        <v>#VALUE!</v>
      </c>
      <c r="D69" s="127" t="n">
        <v>0.0532968575979358</v>
      </c>
      <c r="E69" s="127" t="n">
        <v>3.931</v>
      </c>
      <c r="F69" s="127" t="n">
        <v>0.27</v>
      </c>
      <c r="G69" s="127" t="n">
        <v>0.14</v>
      </c>
      <c r="H69" s="127" t="n">
        <v>0.02</v>
      </c>
      <c r="I69" s="127" t="n">
        <v>0</v>
      </c>
      <c r="J69" s="127" t="n">
        <v>0</v>
      </c>
      <c r="K69" s="127" t="n">
        <v>-0.02</v>
      </c>
      <c r="L69" s="0" t="n">
        <v>-0.02</v>
      </c>
      <c r="M69" s="128" t="n">
        <v>0.3</v>
      </c>
      <c r="N69" s="0" t="n">
        <v>0.092</v>
      </c>
      <c r="O69" s="55" t="n">
        <v>0.86</v>
      </c>
      <c r="P69" s="55" t="n">
        <v>0.1</v>
      </c>
    </row>
    <row r="70" customFormat="false" ht="12.75" hidden="false" customHeight="false" outlineLevel="0" collapsed="false">
      <c r="A70" s="128"/>
      <c r="B70" s="128"/>
      <c r="C70" s="126" t="e">
        <f aca="false">NextMonth(C69)</f>
        <v>#VALUE!</v>
      </c>
      <c r="D70" s="127" t="n">
        <v>0.0536449334670266</v>
      </c>
      <c r="E70" s="127" t="n">
        <v>4.066</v>
      </c>
      <c r="F70" s="127" t="n">
        <v>0.2725</v>
      </c>
      <c r="G70" s="127" t="n">
        <v>0.14</v>
      </c>
      <c r="H70" s="127" t="n">
        <v>0.02</v>
      </c>
      <c r="I70" s="127" t="n">
        <v>0</v>
      </c>
      <c r="J70" s="127" t="n">
        <v>0</v>
      </c>
      <c r="K70" s="127" t="n">
        <v>-0.0425</v>
      </c>
      <c r="L70" s="0" t="n">
        <v>-0.025</v>
      </c>
      <c r="M70" s="128" t="n">
        <v>0.3</v>
      </c>
      <c r="N70" s="0" t="n">
        <v>0.092</v>
      </c>
      <c r="O70" s="55" t="n">
        <v>1.28</v>
      </c>
      <c r="P70" s="55" t="n">
        <v>0.3</v>
      </c>
    </row>
    <row r="71" customFormat="false" ht="12.75" hidden="false" customHeight="false" outlineLevel="0" collapsed="false">
      <c r="A71" s="128"/>
      <c r="B71" s="128"/>
      <c r="C71" s="126" t="e">
        <f aca="false">NextMonth(C70)</f>
        <v>#VALUE!</v>
      </c>
      <c r="D71" s="127" t="n">
        <v>0.054004611907509</v>
      </c>
      <c r="E71" s="127" t="n">
        <v>4.136</v>
      </c>
      <c r="F71" s="127" t="n">
        <v>0.275</v>
      </c>
      <c r="G71" s="127" t="n">
        <v>0.14</v>
      </c>
      <c r="H71" s="127" t="n">
        <v>0.02</v>
      </c>
      <c r="I71" s="127" t="n">
        <v>0</v>
      </c>
      <c r="J71" s="127" t="n">
        <v>0</v>
      </c>
      <c r="K71" s="127" t="n">
        <v>-0.045</v>
      </c>
      <c r="L71" s="0" t="n">
        <v>-0.025</v>
      </c>
      <c r="M71" s="128" t="n">
        <v>0.3</v>
      </c>
      <c r="N71" s="0" t="n">
        <v>0.092</v>
      </c>
      <c r="O71" s="55" t="n">
        <v>1.61</v>
      </c>
      <c r="P71" s="55" t="n">
        <v>0.5</v>
      </c>
    </row>
    <row r="72" customFormat="false" ht="12.75" hidden="false" customHeight="false" outlineLevel="0" collapsed="false">
      <c r="A72" s="128"/>
      <c r="B72" s="128"/>
      <c r="C72" s="126" t="e">
        <f aca="false">NextMonth(C71)</f>
        <v>#VALUE!</v>
      </c>
      <c r="D72" s="127" t="n">
        <v>0.054364290391101</v>
      </c>
      <c r="E72" s="127" t="n">
        <v>4.018</v>
      </c>
      <c r="F72" s="127" t="n">
        <v>0.2675</v>
      </c>
      <c r="G72" s="127" t="n">
        <v>0.14</v>
      </c>
      <c r="H72" s="127" t="n">
        <v>0.02</v>
      </c>
      <c r="I72" s="127" t="n">
        <v>0</v>
      </c>
      <c r="J72" s="127" t="n">
        <v>0</v>
      </c>
      <c r="K72" s="127" t="n">
        <v>-0.0275</v>
      </c>
      <c r="L72" s="0" t="n">
        <v>-0.025</v>
      </c>
      <c r="M72" s="128" t="n">
        <v>0.3</v>
      </c>
      <c r="N72" s="0" t="n">
        <v>0.092</v>
      </c>
      <c r="O72" s="55" t="n">
        <v>1.57</v>
      </c>
      <c r="P72" s="55" t="n">
        <v>0.5</v>
      </c>
    </row>
    <row r="73" customFormat="false" ht="12.75" hidden="false" customHeight="false" outlineLevel="0" collapsed="false">
      <c r="A73" s="128"/>
      <c r="B73" s="128"/>
      <c r="C73" s="126" t="e">
        <f aca="false">NextMonth(C72)</f>
        <v>#VALUE!</v>
      </c>
      <c r="D73" s="127" t="n">
        <v>0.0546891613165545</v>
      </c>
      <c r="E73" s="127" t="n">
        <v>3.885</v>
      </c>
      <c r="F73" s="127" t="n">
        <v>0.2625</v>
      </c>
      <c r="G73" s="127" t="n">
        <v>0.14</v>
      </c>
      <c r="H73" s="127" t="n">
        <v>0.02</v>
      </c>
      <c r="I73" s="127" t="n">
        <v>0</v>
      </c>
      <c r="J73" s="127" t="n">
        <v>0</v>
      </c>
      <c r="K73" s="127" t="n">
        <v>-0.015</v>
      </c>
      <c r="L73" s="0" t="n">
        <v>-0.02</v>
      </c>
      <c r="M73" s="128" t="n">
        <v>0.3</v>
      </c>
      <c r="N73" s="0" t="n">
        <v>0.092</v>
      </c>
      <c r="O73" s="55" t="n">
        <v>0.93</v>
      </c>
      <c r="P73" s="55" t="n">
        <v>0.1</v>
      </c>
    </row>
    <row r="74" customFormat="false" ht="12.75" hidden="false" customHeight="false" outlineLevel="0" collapsed="false">
      <c r="A74" s="128"/>
      <c r="B74" s="128"/>
      <c r="C74" s="126" t="e">
        <f aca="false">NextMonth(C73)</f>
        <v>#VALUE!</v>
      </c>
      <c r="D74" s="127" t="n">
        <v>0.0550488398821742</v>
      </c>
      <c r="E74" s="127" t="n">
        <v>3.67</v>
      </c>
      <c r="F74" s="127" t="n">
        <v>0.2575</v>
      </c>
      <c r="G74" s="127" t="n">
        <v>0.04</v>
      </c>
      <c r="H74" s="127" t="n">
        <v>0.005</v>
      </c>
      <c r="I74" s="127" t="n">
        <v>0</v>
      </c>
      <c r="J74" s="127" t="n">
        <v>0</v>
      </c>
      <c r="K74" s="127" t="n">
        <v>0.02</v>
      </c>
      <c r="L74" s="0" t="n">
        <v>-0.015</v>
      </c>
      <c r="M74" s="128" t="n">
        <v>0.25</v>
      </c>
      <c r="N74" s="0" t="n">
        <v>0.062</v>
      </c>
      <c r="O74" s="55" t="n">
        <v>0.48</v>
      </c>
      <c r="P74" s="55" t="n">
        <v>0.02</v>
      </c>
    </row>
    <row r="75" customFormat="false" ht="12.75" hidden="false" customHeight="false" outlineLevel="0" collapsed="false">
      <c r="A75" s="128"/>
      <c r="B75" s="128"/>
      <c r="C75" s="126" t="e">
        <f aca="false">NextMonth(C74)</f>
        <v>#VALUE!</v>
      </c>
      <c r="D75" s="127" t="n">
        <v>0.0553969159544443</v>
      </c>
      <c r="E75" s="127" t="n">
        <v>3.66</v>
      </c>
      <c r="F75" s="127" t="n">
        <v>0.25</v>
      </c>
      <c r="G75" s="127" t="n">
        <v>0.04</v>
      </c>
      <c r="H75" s="127" t="n">
        <v>0.005</v>
      </c>
      <c r="I75" s="127" t="n">
        <v>0</v>
      </c>
      <c r="J75" s="127" t="n">
        <v>0</v>
      </c>
      <c r="K75" s="127" t="n">
        <v>0.02</v>
      </c>
      <c r="L75" s="0" t="n">
        <v>-0.015</v>
      </c>
      <c r="M75" s="128" t="n">
        <v>0.25</v>
      </c>
      <c r="N75" s="0" t="n">
        <v>0.062</v>
      </c>
      <c r="O75" s="55" t="n">
        <v>0.42</v>
      </c>
      <c r="P75" s="55" t="n">
        <v>0.02</v>
      </c>
    </row>
    <row r="76" customFormat="false" ht="12.75" hidden="false" customHeight="false" outlineLevel="0" collapsed="false">
      <c r="A76" s="128"/>
      <c r="B76" s="128"/>
      <c r="C76" s="126" t="e">
        <f aca="false">NextMonth(C75)</f>
        <v>#VALUE!</v>
      </c>
      <c r="D76" s="127" t="n">
        <v>0.0557565946048424</v>
      </c>
      <c r="E76" s="127" t="n">
        <v>3.696</v>
      </c>
      <c r="F76" s="127" t="n">
        <v>0.25</v>
      </c>
      <c r="G76" s="127" t="n">
        <v>0.04</v>
      </c>
      <c r="H76" s="127" t="n">
        <v>0.005</v>
      </c>
      <c r="I76" s="127" t="n">
        <v>0</v>
      </c>
      <c r="J76" s="127" t="n">
        <v>0</v>
      </c>
      <c r="K76" s="127" t="n">
        <v>0.025</v>
      </c>
      <c r="L76" s="0" t="n">
        <v>-0.015</v>
      </c>
      <c r="M76" s="128" t="n">
        <v>0.25</v>
      </c>
      <c r="N76" s="0" t="n">
        <v>0.062</v>
      </c>
      <c r="O76" s="55" t="n">
        <v>0.42</v>
      </c>
      <c r="P76" s="55" t="n">
        <v>0.035</v>
      </c>
    </row>
    <row r="77" customFormat="false" ht="12.75" hidden="false" customHeight="false" outlineLevel="0" collapsed="false">
      <c r="A77" s="128"/>
      <c r="B77" s="128"/>
      <c r="C77" s="126" t="e">
        <f aca="false">NextMonth(C76)</f>
        <v>#VALUE!</v>
      </c>
      <c r="D77" s="127" t="n">
        <v>0.0560368992036309</v>
      </c>
      <c r="E77" s="127" t="n">
        <v>3.741</v>
      </c>
      <c r="F77" s="127" t="n">
        <v>0.25</v>
      </c>
      <c r="G77" s="127" t="n">
        <v>0.04</v>
      </c>
      <c r="H77" s="127" t="n">
        <v>0.005</v>
      </c>
      <c r="I77" s="127" t="n">
        <v>0</v>
      </c>
      <c r="J77" s="127" t="n">
        <v>0</v>
      </c>
      <c r="K77" s="127" t="n">
        <v>0.0275</v>
      </c>
      <c r="L77" s="0" t="n">
        <v>-0.01</v>
      </c>
      <c r="M77" s="128" t="n">
        <v>0.25</v>
      </c>
      <c r="N77" s="0" t="n">
        <v>0.062</v>
      </c>
      <c r="O77" s="55" t="n">
        <v>0.48</v>
      </c>
      <c r="P77" s="55" t="n">
        <v>0.035</v>
      </c>
    </row>
    <row r="78" customFormat="false" ht="12.75" hidden="false" customHeight="false" outlineLevel="0" collapsed="false">
      <c r="A78" s="128"/>
      <c r="B78" s="128"/>
      <c r="C78" s="126" t="e">
        <f aca="false">NextMonth(C77)</f>
        <v>#VALUE!</v>
      </c>
      <c r="D78" s="127" t="n">
        <v>0.0561864860931407</v>
      </c>
      <c r="E78" s="127" t="n">
        <v>3.789</v>
      </c>
      <c r="F78" s="127" t="n">
        <v>0.25</v>
      </c>
      <c r="G78" s="127" t="n">
        <v>0.04</v>
      </c>
      <c r="H78" s="127" t="n">
        <v>0.005</v>
      </c>
      <c r="I78" s="127" t="n">
        <v>0</v>
      </c>
      <c r="J78" s="127" t="n">
        <v>0</v>
      </c>
      <c r="K78" s="127" t="n">
        <v>0.03</v>
      </c>
      <c r="L78" s="0" t="n">
        <v>-0.01</v>
      </c>
      <c r="M78" s="128" t="n">
        <v>0.25</v>
      </c>
      <c r="N78" s="0" t="n">
        <v>0.062</v>
      </c>
      <c r="O78" s="55" t="n">
        <v>0.48</v>
      </c>
      <c r="P78" s="55" t="n">
        <v>0.035</v>
      </c>
    </row>
    <row r="79" customFormat="false" ht="12.75" hidden="false" customHeight="false" outlineLevel="0" collapsed="false">
      <c r="A79" s="128"/>
      <c r="B79" s="128"/>
      <c r="C79" s="126" t="e">
        <f aca="false">NextMonth(C78)</f>
        <v>#VALUE!</v>
      </c>
      <c r="D79" s="127" t="n">
        <v>0.0563360729900992</v>
      </c>
      <c r="E79" s="127" t="n">
        <v>3.803</v>
      </c>
      <c r="F79" s="127" t="n">
        <v>0.25</v>
      </c>
      <c r="G79" s="127" t="n">
        <v>0.04</v>
      </c>
      <c r="H79" s="127" t="n">
        <v>0.005</v>
      </c>
      <c r="I79" s="127" t="n">
        <v>0</v>
      </c>
      <c r="J79" s="127" t="n">
        <v>0</v>
      </c>
      <c r="K79" s="127" t="n">
        <v>0.0225</v>
      </c>
      <c r="L79" s="0" t="n">
        <v>-0.01</v>
      </c>
      <c r="M79" s="128" t="n">
        <v>0.25</v>
      </c>
      <c r="N79" s="0" t="n">
        <v>0.062</v>
      </c>
      <c r="O79" s="55" t="n">
        <v>0.44</v>
      </c>
      <c r="P79" s="55" t="n">
        <v>0.035</v>
      </c>
    </row>
    <row r="80" customFormat="false" ht="12.75" hidden="false" customHeight="false" outlineLevel="0" collapsed="false">
      <c r="A80" s="128"/>
      <c r="B80" s="128"/>
      <c r="C80" s="126" t="e">
        <f aca="false">NextMonth(C79)</f>
        <v>#VALUE!</v>
      </c>
      <c r="D80" s="127" t="n">
        <v>0.0564808345103764</v>
      </c>
      <c r="E80" s="127" t="n">
        <v>3.831</v>
      </c>
      <c r="F80" s="127" t="n">
        <v>0.25</v>
      </c>
      <c r="G80" s="127" t="n">
        <v>0.04</v>
      </c>
      <c r="H80" s="127" t="n">
        <v>0.005</v>
      </c>
      <c r="I80" s="127" t="n">
        <v>0</v>
      </c>
      <c r="J80" s="127" t="n">
        <v>0</v>
      </c>
      <c r="K80" s="127" t="n">
        <v>0.0125</v>
      </c>
      <c r="L80" s="0" t="n">
        <v>-0.015</v>
      </c>
      <c r="M80" s="128" t="n">
        <v>0.25</v>
      </c>
      <c r="N80" s="0" t="n">
        <v>0.062</v>
      </c>
      <c r="O80" s="55" t="n">
        <v>0.45</v>
      </c>
      <c r="P80" s="55" t="n">
        <v>0.035</v>
      </c>
    </row>
    <row r="81" customFormat="false" ht="12.75" hidden="false" customHeight="false" outlineLevel="0" collapsed="false">
      <c r="A81" s="128"/>
      <c r="B81" s="128"/>
      <c r="C81" s="126" t="e">
        <f aca="false">NextMonth(C80)</f>
        <v>#VALUE!</v>
      </c>
      <c r="D81" s="127" t="n">
        <v>0.0566304214219904</v>
      </c>
      <c r="E81" s="127" t="n">
        <v>3.966</v>
      </c>
      <c r="F81" s="127" t="n">
        <v>0.2525</v>
      </c>
      <c r="G81" s="127" t="n">
        <v>0.14</v>
      </c>
      <c r="H81" s="127" t="n">
        <v>0.02</v>
      </c>
      <c r="I81" s="127" t="n">
        <v>0</v>
      </c>
      <c r="J81" s="127" t="n">
        <v>0</v>
      </c>
      <c r="K81" s="127" t="n">
        <v>-0.02</v>
      </c>
      <c r="L81" s="0" t="n">
        <v>-0.02</v>
      </c>
      <c r="M81" s="128" t="n">
        <v>0.26</v>
      </c>
      <c r="N81" s="0" t="n">
        <v>0.094</v>
      </c>
      <c r="O81" s="55" t="n">
        <v>0.86</v>
      </c>
      <c r="P81" s="55" t="n">
        <v>0.1</v>
      </c>
    </row>
    <row r="82" customFormat="false" ht="12.75" hidden="false" customHeight="false" outlineLevel="0" collapsed="false">
      <c r="A82" s="128"/>
      <c r="B82" s="128"/>
      <c r="C82" s="126" t="e">
        <f aca="false">NextMonth(C81)</f>
        <v>#VALUE!</v>
      </c>
      <c r="D82" s="127" t="n">
        <v>0.0567751829564496</v>
      </c>
      <c r="E82" s="127" t="n">
        <v>4.101</v>
      </c>
      <c r="F82" s="127" t="n">
        <v>0.2575</v>
      </c>
      <c r="G82" s="127" t="n">
        <v>0.14</v>
      </c>
      <c r="H82" s="127" t="n">
        <v>0.02</v>
      </c>
      <c r="I82" s="127" t="n">
        <v>0</v>
      </c>
      <c r="J82" s="127" t="n">
        <v>0</v>
      </c>
      <c r="K82" s="127" t="n">
        <v>-0.0425</v>
      </c>
      <c r="L82" s="0" t="n">
        <v>-0.025</v>
      </c>
      <c r="M82" s="128" t="n">
        <v>0.26</v>
      </c>
      <c r="N82" s="0" t="n">
        <v>0.094</v>
      </c>
      <c r="O82" s="55" t="n">
        <v>1.28</v>
      </c>
      <c r="P82" s="55" t="n">
        <v>0.3</v>
      </c>
    </row>
    <row r="83" customFormat="false" ht="12.75" hidden="false" customHeight="false" outlineLevel="0" collapsed="false">
      <c r="A83" s="128"/>
      <c r="B83" s="128"/>
      <c r="C83" s="126" t="e">
        <f aca="false">NextMonth(C82)</f>
        <v>#VALUE!</v>
      </c>
      <c r="D83" s="127" t="n">
        <v>0.0569247698827162</v>
      </c>
      <c r="E83" s="127" t="n">
        <v>4.181</v>
      </c>
      <c r="F83" s="127" t="n">
        <v>0.26</v>
      </c>
      <c r="G83" s="127" t="n">
        <v>0.14</v>
      </c>
      <c r="H83" s="127" t="n">
        <v>0.02</v>
      </c>
      <c r="I83" s="127" t="n">
        <v>0</v>
      </c>
      <c r="J83" s="127" t="n">
        <v>0.0025</v>
      </c>
      <c r="K83" s="127" t="n">
        <v>-0.045</v>
      </c>
      <c r="L83" s="0" t="n">
        <v>-0.025</v>
      </c>
      <c r="M83" s="128" t="n">
        <v>0.26</v>
      </c>
      <c r="N83" s="0" t="n">
        <v>0.094</v>
      </c>
      <c r="O83" s="55" t="n">
        <v>1.61</v>
      </c>
      <c r="P83" s="55" t="n">
        <v>0.5</v>
      </c>
    </row>
    <row r="84" customFormat="false" ht="12.75" hidden="false" customHeight="false" outlineLevel="0" collapsed="false">
      <c r="A84" s="128"/>
      <c r="B84" s="128"/>
      <c r="C84" s="126" t="e">
        <f aca="false">NextMonth(C83)</f>
        <v>#VALUE!</v>
      </c>
      <c r="D84" s="127" t="n">
        <v>0.0570743568164289</v>
      </c>
      <c r="E84" s="127" t="n">
        <v>4.063</v>
      </c>
      <c r="F84" s="127" t="n">
        <v>0.2475</v>
      </c>
      <c r="G84" s="127" t="n">
        <v>0.14</v>
      </c>
      <c r="H84" s="127" t="n">
        <v>0.02</v>
      </c>
      <c r="I84" s="127" t="n">
        <v>0</v>
      </c>
      <c r="J84" s="127" t="n">
        <v>0.0025</v>
      </c>
      <c r="K84" s="127" t="n">
        <v>-0.0275</v>
      </c>
      <c r="L84" s="0" t="n">
        <v>-0.025</v>
      </c>
      <c r="M84" s="128" t="n">
        <v>0.26</v>
      </c>
      <c r="N84" s="0" t="n">
        <v>0.094</v>
      </c>
      <c r="O84" s="55" t="n">
        <v>1.57</v>
      </c>
      <c r="P84" s="55" t="n">
        <v>0.5</v>
      </c>
    </row>
    <row r="85" customFormat="false" ht="12.75" hidden="false" customHeight="false" outlineLevel="0" collapsed="false">
      <c r="A85" s="128"/>
      <c r="B85" s="128"/>
      <c r="C85" s="126" t="e">
        <f aca="false">NextMonth(C84)</f>
        <v>#VALUE!</v>
      </c>
      <c r="D85" s="127" t="n">
        <v>0.0572094676016661</v>
      </c>
      <c r="E85" s="127" t="n">
        <v>3.93</v>
      </c>
      <c r="F85" s="127" t="n">
        <v>0.24</v>
      </c>
      <c r="G85" s="127" t="n">
        <v>0.14</v>
      </c>
      <c r="H85" s="127" t="n">
        <v>0.02</v>
      </c>
      <c r="I85" s="127" t="n">
        <v>0</v>
      </c>
      <c r="J85" s="127" t="n">
        <v>0.0025</v>
      </c>
      <c r="K85" s="127" t="n">
        <v>-0.015</v>
      </c>
      <c r="L85" s="0" t="n">
        <v>-0.02</v>
      </c>
      <c r="M85" s="128" t="n">
        <v>0.26</v>
      </c>
      <c r="N85" s="0" t="n">
        <v>0.094</v>
      </c>
      <c r="O85" s="55" t="n">
        <v>0.93</v>
      </c>
      <c r="P85" s="55" t="n">
        <v>0.1</v>
      </c>
    </row>
    <row r="86" customFormat="false" ht="12.75" hidden="false" customHeight="false" outlineLevel="0" collapsed="false">
      <c r="A86" s="128"/>
      <c r="B86" s="128"/>
      <c r="C86" s="126" t="e">
        <f aca="false">NextMonth(C85)</f>
        <v>#VALUE!</v>
      </c>
      <c r="D86" s="127" t="n">
        <v>0.0573590545495493</v>
      </c>
      <c r="E86" s="127" t="n">
        <v>3.715</v>
      </c>
      <c r="F86" s="127" t="n">
        <v>0.24</v>
      </c>
      <c r="G86" s="127" t="n">
        <v>0.04</v>
      </c>
      <c r="H86" s="127" t="n">
        <v>0.005</v>
      </c>
      <c r="I86" s="127" t="n">
        <v>0</v>
      </c>
      <c r="J86" s="127" t="n">
        <v>0.0025</v>
      </c>
      <c r="K86" s="127" t="n">
        <v>0.02</v>
      </c>
      <c r="L86" s="0" t="n">
        <v>-0.015</v>
      </c>
      <c r="M86" s="128" t="n">
        <v>0.25</v>
      </c>
      <c r="N86" s="0" t="n">
        <v>0.064</v>
      </c>
      <c r="O86" s="55" t="n">
        <v>0.48</v>
      </c>
      <c r="P86" s="55" t="n">
        <v>0.02</v>
      </c>
    </row>
    <row r="87" customFormat="false" ht="12.75" hidden="false" customHeight="false" outlineLevel="0" collapsed="false">
      <c r="A87" s="128"/>
      <c r="B87" s="128"/>
      <c r="C87" s="126" t="e">
        <f aca="false">NextMonth(C86)</f>
        <v>#VALUE!</v>
      </c>
      <c r="D87" s="127" t="n">
        <v>0.0575038161191044</v>
      </c>
      <c r="E87" s="127" t="n">
        <v>3.705</v>
      </c>
      <c r="F87" s="127" t="n">
        <v>0.24</v>
      </c>
      <c r="G87" s="127" t="n">
        <v>0.04</v>
      </c>
      <c r="H87" s="127" t="n">
        <v>0.005</v>
      </c>
      <c r="I87" s="127" t="n">
        <v>0</v>
      </c>
      <c r="J87" s="127" t="n">
        <v>0.0025</v>
      </c>
      <c r="K87" s="127" t="n">
        <v>0.02</v>
      </c>
      <c r="L87" s="0" t="n">
        <v>-0.015</v>
      </c>
      <c r="M87" s="128" t="n">
        <v>0.25</v>
      </c>
      <c r="N87" s="0" t="n">
        <v>0.064</v>
      </c>
      <c r="O87" s="55" t="n">
        <v>0.42</v>
      </c>
      <c r="P87" s="55" t="n">
        <v>0.02</v>
      </c>
    </row>
    <row r="88" customFormat="false" ht="12.75" hidden="false" customHeight="false" outlineLevel="0" collapsed="false">
      <c r="A88" s="128"/>
      <c r="B88" s="128"/>
      <c r="C88" s="126" t="e">
        <f aca="false">NextMonth(C87)</f>
        <v>#VALUE!</v>
      </c>
      <c r="D88" s="127" t="n">
        <v>0.0576534030816354</v>
      </c>
      <c r="E88" s="127" t="n">
        <v>3.741</v>
      </c>
      <c r="F88" s="127" t="n">
        <v>0.23</v>
      </c>
      <c r="G88" s="127" t="n">
        <v>0.04</v>
      </c>
      <c r="H88" s="127" t="n">
        <v>0.005</v>
      </c>
      <c r="I88" s="127" t="n">
        <v>0</v>
      </c>
      <c r="J88" s="127" t="n">
        <v>0.0025</v>
      </c>
      <c r="K88" s="127" t="n">
        <v>0.025</v>
      </c>
      <c r="L88" s="0" t="n">
        <v>-0.015</v>
      </c>
      <c r="M88" s="128" t="n">
        <v>0.25</v>
      </c>
      <c r="N88" s="0" t="n">
        <v>0.064</v>
      </c>
      <c r="O88" s="55" t="n">
        <v>0.42</v>
      </c>
      <c r="P88" s="55" t="n">
        <v>0.035</v>
      </c>
    </row>
    <row r="89" customFormat="false" ht="12.75" hidden="false" customHeight="false" outlineLevel="0" collapsed="false">
      <c r="A89" s="128"/>
      <c r="B89" s="128"/>
      <c r="C89" s="126" t="e">
        <f aca="false">NextMonth(C88)</f>
        <v>#VALUE!</v>
      </c>
      <c r="D89" s="127" t="n">
        <v>0.0577981646653649</v>
      </c>
      <c r="E89" s="127" t="n">
        <v>3.786</v>
      </c>
      <c r="F89" s="127" t="n">
        <v>0.23</v>
      </c>
      <c r="G89" s="127" t="n">
        <v>0.04</v>
      </c>
      <c r="H89" s="127" t="n">
        <v>0.005</v>
      </c>
      <c r="I89" s="127" t="n">
        <v>0</v>
      </c>
      <c r="J89" s="127" t="n">
        <v>0.0025</v>
      </c>
      <c r="K89" s="127" t="n">
        <v>0.0275</v>
      </c>
      <c r="L89" s="0" t="n">
        <v>-0.01</v>
      </c>
      <c r="M89" s="128" t="n">
        <v>0.25</v>
      </c>
      <c r="N89" s="0" t="n">
        <v>0.064</v>
      </c>
      <c r="O89" s="55" t="n">
        <v>0.48</v>
      </c>
      <c r="P89" s="55" t="n">
        <v>0.035</v>
      </c>
    </row>
    <row r="90" customFormat="false" ht="12.75" hidden="false" customHeight="false" outlineLevel="0" collapsed="false">
      <c r="A90" s="128"/>
      <c r="B90" s="128"/>
      <c r="C90" s="126" t="e">
        <f aca="false">NextMonth(C89)</f>
        <v>#VALUE!</v>
      </c>
      <c r="D90" s="127" t="n">
        <v>0.0579477516425415</v>
      </c>
      <c r="E90" s="127" t="n">
        <v>3.834</v>
      </c>
      <c r="F90" s="127" t="n">
        <v>0.23</v>
      </c>
      <c r="G90" s="127" t="n">
        <v>0.04</v>
      </c>
      <c r="H90" s="127" t="n">
        <v>0.005</v>
      </c>
      <c r="I90" s="127" t="n">
        <v>0</v>
      </c>
      <c r="J90" s="127" t="n">
        <v>0.0025</v>
      </c>
      <c r="K90" s="127" t="n">
        <v>0.03</v>
      </c>
      <c r="L90" s="0" t="n">
        <v>-0.01</v>
      </c>
      <c r="M90" s="128" t="n">
        <v>0.25</v>
      </c>
      <c r="N90" s="0" t="n">
        <v>0.064</v>
      </c>
      <c r="O90" s="55" t="n">
        <v>0.48</v>
      </c>
      <c r="P90" s="55" t="n">
        <v>0.035</v>
      </c>
    </row>
    <row r="91" customFormat="false" ht="12.75" hidden="false" customHeight="false" outlineLevel="0" collapsed="false">
      <c r="A91" s="128"/>
      <c r="B91" s="128"/>
      <c r="C91" s="126" t="e">
        <f aca="false">NextMonth(C90)</f>
        <v>#VALUE!</v>
      </c>
      <c r="D91" s="127" t="n">
        <v>0.0580973386271606</v>
      </c>
      <c r="E91" s="127" t="n">
        <v>3.848</v>
      </c>
      <c r="F91" s="127" t="n">
        <v>0.23</v>
      </c>
      <c r="G91" s="127" t="n">
        <v>0.04</v>
      </c>
      <c r="H91" s="127" t="n">
        <v>0.005</v>
      </c>
      <c r="I91" s="127" t="n">
        <v>0</v>
      </c>
      <c r="J91" s="127" t="n">
        <v>0.0025</v>
      </c>
      <c r="K91" s="127" t="n">
        <v>0.0225</v>
      </c>
      <c r="L91" s="0" t="n">
        <v>-0.01</v>
      </c>
      <c r="M91" s="128" t="n">
        <v>0.25</v>
      </c>
      <c r="N91" s="0" t="n">
        <v>0.064</v>
      </c>
      <c r="O91" s="55" t="n">
        <v>0.44</v>
      </c>
      <c r="P91" s="55" t="n">
        <v>0.035</v>
      </c>
    </row>
    <row r="92" customFormat="false" ht="12.75" hidden="false" customHeight="false" outlineLevel="0" collapsed="false">
      <c r="A92" s="128"/>
      <c r="B92" s="128"/>
      <c r="C92" s="126" t="e">
        <f aca="false">NextMonth(C91)</f>
        <v>#VALUE!</v>
      </c>
      <c r="D92" s="127" t="n">
        <v>0.0582421002322646</v>
      </c>
      <c r="E92" s="127" t="n">
        <v>3.876</v>
      </c>
      <c r="F92" s="127" t="n">
        <v>0.23</v>
      </c>
      <c r="G92" s="127" t="n">
        <v>0.04</v>
      </c>
      <c r="H92" s="127" t="n">
        <v>0.005</v>
      </c>
      <c r="I92" s="127" t="n">
        <v>0</v>
      </c>
      <c r="J92" s="127" t="n">
        <v>0.0025</v>
      </c>
      <c r="K92" s="127" t="n">
        <v>0.0125</v>
      </c>
      <c r="L92" s="0" t="n">
        <v>-0.015</v>
      </c>
      <c r="M92" s="128" t="n">
        <v>0.25</v>
      </c>
      <c r="N92" s="0" t="n">
        <v>0.064</v>
      </c>
      <c r="O92" s="55" t="n">
        <v>0.45</v>
      </c>
      <c r="P92" s="55" t="n">
        <v>0.035</v>
      </c>
    </row>
    <row r="93" customFormat="false" ht="12.75" hidden="false" customHeight="false" outlineLevel="0" collapsed="false">
      <c r="A93" s="128"/>
      <c r="B93" s="128"/>
      <c r="C93" s="126" t="e">
        <f aca="false">NextMonth(C92)</f>
        <v>#VALUE!</v>
      </c>
      <c r="D93" s="127" t="n">
        <v>0.0583916872315262</v>
      </c>
      <c r="E93" s="127" t="n">
        <v>4.011</v>
      </c>
      <c r="F93" s="127" t="n">
        <v>0.23</v>
      </c>
      <c r="G93" s="127" t="n">
        <v>0.14</v>
      </c>
      <c r="H93" s="127" t="n">
        <v>0.02</v>
      </c>
      <c r="I93" s="127" t="n">
        <v>0</v>
      </c>
      <c r="J93" s="127" t="n">
        <v>0.0025</v>
      </c>
      <c r="K93" s="127" t="n">
        <v>-0.02</v>
      </c>
      <c r="L93" s="0" t="n">
        <v>-0.02</v>
      </c>
      <c r="M93" s="128" t="n">
        <v>0.26</v>
      </c>
      <c r="N93" s="0" t="n">
        <v>0.096</v>
      </c>
      <c r="O93" s="55" t="n">
        <v>0.86</v>
      </c>
      <c r="P93" s="55" t="n">
        <v>0.1</v>
      </c>
    </row>
    <row r="94" customFormat="false" ht="12.75" hidden="false" customHeight="false" outlineLevel="0" collapsed="false">
      <c r="A94" s="128"/>
      <c r="B94" s="128"/>
      <c r="C94" s="126" t="e">
        <f aca="false">NextMonth(C93)</f>
        <v>#VALUE!</v>
      </c>
      <c r="D94" s="127" t="n">
        <v>0.0585364488507998</v>
      </c>
      <c r="E94" s="127" t="n">
        <v>4.146</v>
      </c>
      <c r="F94" s="127" t="n">
        <v>0.23</v>
      </c>
      <c r="G94" s="127" t="n">
        <v>0.14</v>
      </c>
      <c r="H94" s="127" t="n">
        <v>0.02</v>
      </c>
      <c r="I94" s="127" t="n">
        <v>0</v>
      </c>
      <c r="J94" s="127" t="n">
        <v>0.0025</v>
      </c>
      <c r="K94" s="127" t="n">
        <v>-0.0425</v>
      </c>
      <c r="L94" s="0" t="n">
        <v>-0.025</v>
      </c>
      <c r="M94" s="128" t="n">
        <v>0.26</v>
      </c>
      <c r="N94" s="0" t="n">
        <v>0.096</v>
      </c>
      <c r="O94" s="55" t="n">
        <v>1.28</v>
      </c>
      <c r="P94" s="55" t="n">
        <v>0.3</v>
      </c>
    </row>
    <row r="95" customFormat="false" ht="12.75" hidden="false" customHeight="false" outlineLevel="0" collapsed="false">
      <c r="A95" s="128"/>
      <c r="B95" s="128"/>
      <c r="C95" s="126" t="e">
        <f aca="false">NextMonth(C94)</f>
        <v>#VALUE!</v>
      </c>
      <c r="D95" s="127" t="n">
        <v>0.0586860358647021</v>
      </c>
      <c r="E95" s="127" t="n">
        <v>4.236</v>
      </c>
      <c r="F95" s="127" t="n">
        <v>0.23</v>
      </c>
      <c r="G95" s="127" t="n">
        <v>0.14</v>
      </c>
      <c r="H95" s="127" t="n">
        <v>0.02</v>
      </c>
      <c r="I95" s="127" t="n">
        <v>0</v>
      </c>
      <c r="J95" s="127" t="n">
        <v>0.0025</v>
      </c>
      <c r="K95" s="127" t="n">
        <v>-0.045</v>
      </c>
      <c r="L95" s="0" t="n">
        <v>-0.025</v>
      </c>
      <c r="M95" s="128" t="n">
        <v>0.26</v>
      </c>
      <c r="N95" s="0" t="n">
        <v>0.096</v>
      </c>
      <c r="O95" s="55" t="n">
        <v>1.61</v>
      </c>
      <c r="P95" s="55" t="n">
        <v>0.5</v>
      </c>
    </row>
    <row r="96" customFormat="false" ht="12.75" hidden="false" customHeight="false" outlineLevel="0" collapsed="false">
      <c r="A96" s="128"/>
      <c r="B96" s="128"/>
      <c r="C96" s="126" t="e">
        <f aca="false">NextMonth(C95)</f>
        <v>#VALUE!</v>
      </c>
      <c r="D96" s="127" t="n">
        <v>0.0588356228860443</v>
      </c>
      <c r="E96" s="127" t="n">
        <v>4.118</v>
      </c>
      <c r="F96" s="127" t="n">
        <v>0.23</v>
      </c>
      <c r="G96" s="127" t="n">
        <v>0.14</v>
      </c>
      <c r="H96" s="127" t="n">
        <v>0.02</v>
      </c>
      <c r="I96" s="127" t="n">
        <v>0</v>
      </c>
      <c r="J96" s="127" t="n">
        <v>0.0025</v>
      </c>
      <c r="K96" s="127" t="n">
        <v>-0.0275</v>
      </c>
      <c r="L96" s="0" t="n">
        <v>-0.025</v>
      </c>
      <c r="M96" s="128" t="n">
        <v>0.26</v>
      </c>
      <c r="N96" s="0" t="n">
        <v>0.096</v>
      </c>
      <c r="O96" s="55" t="n">
        <v>1.57</v>
      </c>
      <c r="P96" s="55" t="n">
        <v>0.5</v>
      </c>
    </row>
    <row r="97" customFormat="false" ht="12.75" hidden="false" customHeight="false" outlineLevel="0" collapsed="false">
      <c r="A97" s="128"/>
      <c r="B97" s="128"/>
      <c r="C97" s="126" t="e">
        <f aca="false">NextMonth(C96)</f>
        <v>#VALUE!</v>
      </c>
      <c r="D97" s="127" t="n">
        <v>0.0589755591385508</v>
      </c>
      <c r="E97" s="127" t="n">
        <v>3.985</v>
      </c>
      <c r="F97" s="127" t="n">
        <v>0.2175</v>
      </c>
      <c r="G97" s="127" t="n">
        <v>0.14</v>
      </c>
      <c r="H97" s="127" t="n">
        <v>0.02</v>
      </c>
      <c r="I97" s="127" t="n">
        <v>0</v>
      </c>
      <c r="J97" s="127" t="n">
        <v>0.0025</v>
      </c>
      <c r="K97" s="127" t="n">
        <v>-0.015</v>
      </c>
      <c r="L97" s="0" t="n">
        <v>-0.02</v>
      </c>
      <c r="M97" s="128" t="n">
        <v>0.26</v>
      </c>
      <c r="N97" s="0" t="n">
        <v>0.096</v>
      </c>
      <c r="O97" s="55" t="n">
        <v>0.93</v>
      </c>
      <c r="P97" s="55" t="n">
        <v>0.1</v>
      </c>
    </row>
    <row r="98" customFormat="false" ht="12.75" hidden="false" customHeight="false" outlineLevel="0" collapsed="false">
      <c r="A98" s="128"/>
      <c r="B98" s="128"/>
      <c r="C98" s="126" t="e">
        <f aca="false">NextMonth(C97)</f>
        <v>#VALUE!</v>
      </c>
      <c r="D98" s="127" t="n">
        <v>0.0591251461742908</v>
      </c>
      <c r="E98" s="127" t="n">
        <v>3.77</v>
      </c>
      <c r="F98" s="127" t="n">
        <v>0.2175</v>
      </c>
      <c r="G98" s="127" t="n">
        <v>0.04</v>
      </c>
      <c r="H98" s="127" t="n">
        <v>0.005</v>
      </c>
      <c r="I98" s="127" t="n">
        <v>0</v>
      </c>
      <c r="J98" s="127" t="n">
        <v>0.0025</v>
      </c>
      <c r="K98" s="127" t="n">
        <v>0.02</v>
      </c>
      <c r="L98" s="0" t="n">
        <v>-0.015</v>
      </c>
      <c r="M98" s="128" t="n">
        <v>0.25</v>
      </c>
      <c r="N98" s="0" t="n">
        <v>0.066</v>
      </c>
      <c r="O98" s="55" t="n">
        <v>0.48</v>
      </c>
      <c r="P98" s="55" t="n">
        <v>0.02</v>
      </c>
    </row>
    <row r="99" customFormat="false" ht="12.75" hidden="false" customHeight="false" outlineLevel="0" collapsed="false">
      <c r="A99" s="128"/>
      <c r="B99" s="128"/>
      <c r="C99" s="126" t="e">
        <f aca="false">NextMonth(C98)</f>
        <v>#VALUE!</v>
      </c>
      <c r="D99" s="127" t="n">
        <v>0.0592699078288628</v>
      </c>
      <c r="E99" s="127" t="n">
        <v>3.76</v>
      </c>
      <c r="F99" s="127" t="n">
        <v>0.2175</v>
      </c>
      <c r="G99" s="127" t="n">
        <v>0.04</v>
      </c>
      <c r="H99" s="127" t="n">
        <v>0.005</v>
      </c>
      <c r="I99" s="127" t="n">
        <v>0</v>
      </c>
      <c r="J99" s="127" t="n">
        <v>0.0025</v>
      </c>
      <c r="K99" s="127" t="n">
        <v>0.02</v>
      </c>
      <c r="L99" s="0" t="n">
        <v>-0.015</v>
      </c>
      <c r="M99" s="128" t="n">
        <v>0.25</v>
      </c>
      <c r="N99" s="0" t="n">
        <v>0.066</v>
      </c>
      <c r="O99" s="55" t="n">
        <v>0.42</v>
      </c>
      <c r="P99" s="55" t="n">
        <v>0.02</v>
      </c>
    </row>
    <row r="100" customFormat="false" ht="12.75" hidden="false" customHeight="false" outlineLevel="0" collapsed="false">
      <c r="A100" s="128"/>
      <c r="B100" s="128"/>
      <c r="C100" s="126" t="e">
        <f aca="false">NextMonth(C99)</f>
        <v>#VALUE!</v>
      </c>
      <c r="D100" s="127" t="n">
        <v>0.0594194948792381</v>
      </c>
      <c r="E100" s="127" t="n">
        <v>3.796</v>
      </c>
      <c r="F100" s="127" t="n">
        <v>0.2175</v>
      </c>
      <c r="G100" s="127" t="n">
        <v>0.04</v>
      </c>
      <c r="H100" s="127" t="n">
        <v>0.005</v>
      </c>
      <c r="I100" s="127" t="n">
        <v>0</v>
      </c>
      <c r="J100" s="127" t="n">
        <v>0.0025</v>
      </c>
      <c r="K100" s="127" t="n">
        <v>0.025</v>
      </c>
      <c r="L100" s="0" t="n">
        <v>-0.015</v>
      </c>
      <c r="M100" s="128" t="n">
        <v>0.25</v>
      </c>
      <c r="N100" s="0" t="n">
        <v>0.066</v>
      </c>
      <c r="O100" s="55" t="n">
        <v>0.42</v>
      </c>
      <c r="P100" s="55" t="n">
        <v>0.035</v>
      </c>
    </row>
    <row r="101" customFormat="false" ht="12.75" hidden="false" customHeight="false" outlineLevel="0" collapsed="false">
      <c r="A101" s="128"/>
      <c r="B101" s="128"/>
      <c r="C101" s="126" t="e">
        <f aca="false">NextMonth(C100)</f>
        <v>#VALUE!</v>
      </c>
      <c r="D101" s="127" t="n">
        <v>0.059546118467007</v>
      </c>
      <c r="E101" s="127" t="n">
        <v>3.841</v>
      </c>
      <c r="F101" s="127" t="n">
        <v>0.215</v>
      </c>
      <c r="G101" s="127" t="n">
        <v>0.04</v>
      </c>
      <c r="H101" s="127" t="n">
        <v>0.005</v>
      </c>
      <c r="I101" s="127" t="n">
        <v>0</v>
      </c>
      <c r="J101" s="127" t="n">
        <v>0.0025</v>
      </c>
      <c r="K101" s="127" t="n">
        <v>0.0275</v>
      </c>
      <c r="L101" s="0" t="n">
        <v>-0.01</v>
      </c>
      <c r="M101" s="128" t="n">
        <v>0.25</v>
      </c>
      <c r="N101" s="0" t="n">
        <v>0.066</v>
      </c>
      <c r="O101" s="55" t="n">
        <v>0.48</v>
      </c>
      <c r="P101" s="55" t="n">
        <v>0.035</v>
      </c>
    </row>
    <row r="102" customFormat="false" ht="12.75" hidden="false" customHeight="false" outlineLevel="0" collapsed="false">
      <c r="A102" s="128"/>
      <c r="B102" s="128"/>
      <c r="C102" s="126" t="e">
        <f aca="false">NextMonth(C101)</f>
        <v>#VALUE!</v>
      </c>
      <c r="D102" s="127" t="n">
        <v>0.0596254204649132</v>
      </c>
      <c r="E102" s="127" t="n">
        <v>3.889</v>
      </c>
      <c r="F102" s="127" t="n">
        <v>0.215</v>
      </c>
      <c r="G102" s="127" t="n">
        <v>0.04</v>
      </c>
      <c r="H102" s="127" t="n">
        <v>0.005</v>
      </c>
      <c r="I102" s="127" t="n">
        <v>0</v>
      </c>
      <c r="J102" s="127" t="n">
        <v>0.0025</v>
      </c>
      <c r="K102" s="127" t="n">
        <v>0.03</v>
      </c>
      <c r="L102" s="0" t="n">
        <v>-0.01</v>
      </c>
      <c r="M102" s="128" t="n">
        <v>0.25</v>
      </c>
      <c r="N102" s="0" t="n">
        <v>0.066</v>
      </c>
      <c r="O102" s="55" t="n">
        <v>0.48</v>
      </c>
      <c r="P102" s="55" t="n">
        <v>0.035</v>
      </c>
    </row>
    <row r="103" customFormat="false" ht="12.75" hidden="false" customHeight="false" outlineLevel="0" collapsed="false">
      <c r="A103" s="128"/>
      <c r="B103" s="128"/>
      <c r="C103" s="126" t="e">
        <f aca="false">NextMonth(C102)</f>
        <v>#VALUE!</v>
      </c>
      <c r="D103" s="127" t="n">
        <v>0.0597047224649092</v>
      </c>
      <c r="E103" s="127" t="n">
        <v>3.903</v>
      </c>
      <c r="F103" s="127" t="n">
        <v>0.215</v>
      </c>
      <c r="G103" s="127" t="n">
        <v>0.04</v>
      </c>
      <c r="H103" s="127" t="n">
        <v>0.005</v>
      </c>
      <c r="I103" s="127" t="n">
        <v>0</v>
      </c>
      <c r="J103" s="127" t="n">
        <v>0.0025</v>
      </c>
      <c r="K103" s="127" t="n">
        <v>0.0225</v>
      </c>
      <c r="L103" s="0" t="n">
        <v>-0.01</v>
      </c>
      <c r="M103" s="128" t="n">
        <v>0.25</v>
      </c>
      <c r="N103" s="0" t="n">
        <v>0.066</v>
      </c>
      <c r="O103" s="55" t="n">
        <v>0.44</v>
      </c>
      <c r="P103" s="55" t="n">
        <v>0.035</v>
      </c>
    </row>
    <row r="104" customFormat="false" ht="12.75" hidden="false" customHeight="false" outlineLevel="0" collapsed="false">
      <c r="A104" s="128"/>
      <c r="B104" s="128"/>
      <c r="C104" s="126" t="e">
        <f aca="false">NextMonth(C103)</f>
        <v>#VALUE!</v>
      </c>
      <c r="D104" s="127" t="n">
        <v>0.0597814663378631</v>
      </c>
      <c r="E104" s="127" t="n">
        <v>3.931</v>
      </c>
      <c r="F104" s="127" t="n">
        <v>0.215</v>
      </c>
      <c r="G104" s="127" t="n">
        <v>0.04</v>
      </c>
      <c r="H104" s="127" t="n">
        <v>0.005</v>
      </c>
      <c r="I104" s="127" t="n">
        <v>0</v>
      </c>
      <c r="J104" s="127" t="n">
        <v>0.0025</v>
      </c>
      <c r="K104" s="127" t="n">
        <v>0.0125</v>
      </c>
      <c r="L104" s="0" t="n">
        <v>-0.015</v>
      </c>
      <c r="M104" s="128" t="n">
        <v>0.25</v>
      </c>
      <c r="N104" s="0" t="n">
        <v>0.066</v>
      </c>
      <c r="O104" s="55" t="n">
        <v>0.45</v>
      </c>
      <c r="P104" s="55" t="n">
        <v>0.035</v>
      </c>
    </row>
    <row r="105" customFormat="false" ht="12.75" hidden="false" customHeight="false" outlineLevel="0" collapsed="false">
      <c r="A105" s="128"/>
      <c r="B105" s="128"/>
      <c r="C105" s="126" t="e">
        <f aca="false">NextMonth(C104)</f>
        <v>#VALUE!</v>
      </c>
      <c r="D105" s="127" t="n">
        <v>0.0598607683419705</v>
      </c>
      <c r="E105" s="127" t="n">
        <v>4.066</v>
      </c>
      <c r="F105" s="127" t="n">
        <v>0.215</v>
      </c>
      <c r="G105" s="127" t="n">
        <v>0.14</v>
      </c>
      <c r="H105" s="127" t="n">
        <v>0.02</v>
      </c>
      <c r="I105" s="127" t="n">
        <v>0</v>
      </c>
      <c r="J105" s="127" t="n">
        <v>0.0025</v>
      </c>
      <c r="K105" s="127" t="n">
        <v>-0.02</v>
      </c>
      <c r="L105" s="0" t="n">
        <v>-0.02</v>
      </c>
      <c r="M105" s="128" t="n">
        <v>0.26</v>
      </c>
      <c r="N105" s="0" t="n">
        <v>0.098</v>
      </c>
      <c r="O105" s="55" t="n">
        <v>0.86</v>
      </c>
      <c r="P105" s="55" t="n">
        <v>0.1</v>
      </c>
    </row>
    <row r="106" customFormat="false" ht="12.75" hidden="false" customHeight="false" outlineLevel="0" collapsed="false">
      <c r="A106" s="128"/>
      <c r="B106" s="128"/>
      <c r="C106" s="126" t="e">
        <f aca="false">NextMonth(C105)</f>
        <v>#VALUE!</v>
      </c>
      <c r="D106" s="127" t="n">
        <v>0.0599375122189039</v>
      </c>
      <c r="E106" s="127" t="n">
        <v>4.201</v>
      </c>
      <c r="F106" s="127" t="n">
        <v>0.2175</v>
      </c>
      <c r="G106" s="127" t="n">
        <v>0.14</v>
      </c>
      <c r="H106" s="127" t="n">
        <v>0.02</v>
      </c>
      <c r="I106" s="127" t="n">
        <v>0</v>
      </c>
      <c r="J106" s="127" t="n">
        <v>0.0025</v>
      </c>
      <c r="K106" s="127" t="n">
        <v>-0.0425</v>
      </c>
      <c r="L106" s="0" t="n">
        <v>-0.025</v>
      </c>
      <c r="M106" s="128" t="n">
        <v>0.26</v>
      </c>
      <c r="N106" s="0" t="n">
        <v>0.098</v>
      </c>
      <c r="O106" s="55" t="n">
        <v>1.28</v>
      </c>
      <c r="P106" s="55" t="n">
        <v>0.3</v>
      </c>
    </row>
    <row r="107" customFormat="false" ht="12.75" hidden="false" customHeight="false" outlineLevel="0" collapsed="false">
      <c r="A107" s="128"/>
      <c r="B107" s="128"/>
      <c r="C107" s="126" t="e">
        <f aca="false">NextMonth(C106)</f>
        <v>#VALUE!</v>
      </c>
      <c r="D107" s="127" t="n">
        <v>0.0600168142271236</v>
      </c>
      <c r="E107" s="127" t="n">
        <v>4.296</v>
      </c>
      <c r="F107" s="127" t="n">
        <v>0.22</v>
      </c>
      <c r="G107" s="127" t="n">
        <v>0.14</v>
      </c>
      <c r="H107" s="127" t="n">
        <v>0.02</v>
      </c>
      <c r="I107" s="127" t="n">
        <v>0</v>
      </c>
      <c r="J107" s="127" t="n">
        <v>0.0025</v>
      </c>
      <c r="K107" s="127" t="n">
        <v>-0.045</v>
      </c>
      <c r="L107" s="0" t="n">
        <v>-0.025</v>
      </c>
      <c r="M107" s="128" t="n">
        <v>0.26</v>
      </c>
      <c r="N107" s="0" t="n">
        <v>0.098</v>
      </c>
      <c r="O107" s="55" t="n">
        <v>1.61</v>
      </c>
      <c r="P107" s="55" t="n">
        <v>0.5</v>
      </c>
    </row>
    <row r="108" customFormat="false" ht="12.75" hidden="false" customHeight="false" outlineLevel="0" collapsed="false">
      <c r="A108" s="128"/>
      <c r="B108" s="128"/>
      <c r="C108" s="126" t="e">
        <f aca="false">NextMonth(C107)</f>
        <v>#VALUE!</v>
      </c>
      <c r="D108" s="127" t="n">
        <v>0.0600961162374336</v>
      </c>
      <c r="E108" s="127" t="n">
        <v>4.178</v>
      </c>
      <c r="F108" s="127" t="n">
        <v>0.215</v>
      </c>
      <c r="G108" s="127" t="n">
        <v>0.14</v>
      </c>
      <c r="H108" s="127" t="n">
        <v>0.02</v>
      </c>
      <c r="I108" s="127" t="n">
        <v>0</v>
      </c>
      <c r="J108" s="127" t="n">
        <v>0.0025</v>
      </c>
      <c r="K108" s="127" t="n">
        <v>-0.0275</v>
      </c>
      <c r="L108" s="0" t="n">
        <v>-0.025</v>
      </c>
      <c r="M108" s="128" t="n">
        <v>0.26</v>
      </c>
      <c r="N108" s="0" t="n">
        <v>0.098</v>
      </c>
      <c r="O108" s="55" t="n">
        <v>1.57</v>
      </c>
      <c r="P108" s="55" t="n">
        <v>0.5</v>
      </c>
    </row>
    <row r="109" customFormat="false" ht="12.75" hidden="false" customHeight="false" outlineLevel="0" collapsed="false">
      <c r="A109" s="128"/>
      <c r="B109" s="128"/>
      <c r="C109" s="126" t="e">
        <f aca="false">NextMonth(C108)</f>
        <v>#VALUE!</v>
      </c>
      <c r="D109" s="127" t="n">
        <v>0.0601677438614443</v>
      </c>
      <c r="E109" s="127" t="n">
        <v>4.045</v>
      </c>
      <c r="F109" s="127" t="n">
        <v>0.2</v>
      </c>
      <c r="G109" s="127" t="n">
        <v>0.14</v>
      </c>
      <c r="H109" s="127" t="n">
        <v>0.02</v>
      </c>
      <c r="I109" s="127" t="n">
        <v>0</v>
      </c>
      <c r="J109" s="127" t="n">
        <v>0.0025</v>
      </c>
      <c r="K109" s="127" t="n">
        <v>-0.015</v>
      </c>
      <c r="L109" s="0" t="n">
        <v>-0.02</v>
      </c>
      <c r="M109" s="128" t="n">
        <v>0.26</v>
      </c>
      <c r="N109" s="0" t="n">
        <v>0.098</v>
      </c>
      <c r="O109" s="55" t="n">
        <v>0.93</v>
      </c>
      <c r="P109" s="55" t="n">
        <v>0.1</v>
      </c>
    </row>
    <row r="110" customFormat="false" ht="12.75" hidden="false" customHeight="false" outlineLevel="0" collapsed="false">
      <c r="A110" s="128"/>
      <c r="B110" s="128"/>
      <c r="C110" s="126" t="e">
        <f aca="false">NextMonth(C109)</f>
        <v>#VALUE!</v>
      </c>
      <c r="D110" s="127" t="n">
        <v>0.0602470458757303</v>
      </c>
      <c r="E110" s="127" t="n">
        <v>3.83</v>
      </c>
      <c r="F110" s="127" t="n">
        <v>0.1925</v>
      </c>
      <c r="G110" s="127" t="n">
        <v>0.04</v>
      </c>
      <c r="H110" s="127" t="n">
        <v>0.005</v>
      </c>
      <c r="I110" s="127" t="n">
        <v>0</v>
      </c>
      <c r="J110" s="127" t="n">
        <v>0.0025</v>
      </c>
      <c r="K110" s="127" t="n">
        <v>0.02</v>
      </c>
      <c r="L110" s="0" t="n">
        <v>-0.015</v>
      </c>
      <c r="M110" s="128" t="n">
        <v>0.25</v>
      </c>
      <c r="N110" s="0" t="n">
        <v>0.068</v>
      </c>
      <c r="O110" s="55" t="n">
        <v>0.48</v>
      </c>
      <c r="P110" s="55" t="n">
        <v>0.02</v>
      </c>
    </row>
    <row r="111" customFormat="false" ht="12.75" hidden="false" customHeight="false" outlineLevel="0" collapsed="false">
      <c r="A111" s="128"/>
      <c r="B111" s="128"/>
      <c r="C111" s="126" t="e">
        <f aca="false">NextMonth(C110)</f>
        <v>#VALUE!</v>
      </c>
      <c r="D111" s="127" t="n">
        <v>0.0603237897625126</v>
      </c>
      <c r="E111" s="127" t="n">
        <v>3.82</v>
      </c>
      <c r="F111" s="127" t="n">
        <v>0.1925</v>
      </c>
      <c r="G111" s="127" t="n">
        <v>0.04</v>
      </c>
      <c r="H111" s="127" t="n">
        <v>0.005</v>
      </c>
      <c r="I111" s="127" t="n">
        <v>0</v>
      </c>
      <c r="J111" s="127" t="n">
        <v>0.0025</v>
      </c>
      <c r="K111" s="127" t="n">
        <v>0.02</v>
      </c>
      <c r="L111" s="0" t="n">
        <v>-0.015</v>
      </c>
      <c r="M111" s="128" t="n">
        <v>0.25</v>
      </c>
      <c r="N111" s="0" t="n">
        <v>0.068</v>
      </c>
      <c r="O111" s="55" t="n">
        <v>0.42</v>
      </c>
      <c r="P111" s="55" t="n">
        <v>0.02</v>
      </c>
    </row>
    <row r="112" customFormat="false" ht="12.75" hidden="false" customHeight="false" outlineLevel="0" collapsed="false">
      <c r="A112" s="128"/>
      <c r="B112" s="128"/>
      <c r="C112" s="126" t="e">
        <f aca="false">NextMonth(C111)</f>
        <v>#VALUE!</v>
      </c>
      <c r="D112" s="127" t="n">
        <v>0.0604030917809095</v>
      </c>
      <c r="E112" s="127" t="n">
        <v>3.856</v>
      </c>
      <c r="F112" s="127" t="n">
        <v>0.1925</v>
      </c>
      <c r="G112" s="127" t="n">
        <v>0.04</v>
      </c>
      <c r="H112" s="127" t="n">
        <v>0.005</v>
      </c>
      <c r="I112" s="127" t="n">
        <v>0</v>
      </c>
      <c r="J112" s="127" t="n">
        <v>0.0025</v>
      </c>
      <c r="K112" s="127" t="n">
        <v>0.025</v>
      </c>
      <c r="L112" s="0" t="n">
        <v>-0.015</v>
      </c>
      <c r="M112" s="128" t="n">
        <v>0.25</v>
      </c>
      <c r="N112" s="0" t="n">
        <v>0.068</v>
      </c>
      <c r="O112" s="55" t="n">
        <v>0.42</v>
      </c>
      <c r="P112" s="55" t="n">
        <v>0.035</v>
      </c>
    </row>
    <row r="113" customFormat="false" ht="12.75" hidden="false" customHeight="false" outlineLevel="0" collapsed="false">
      <c r="A113" s="128"/>
      <c r="B113" s="128"/>
      <c r="C113" s="126" t="e">
        <f aca="false">NextMonth(C112)</f>
        <v>#VALUE!</v>
      </c>
      <c r="D113" s="127" t="n">
        <v>0.0604798356716705</v>
      </c>
      <c r="E113" s="127" t="n">
        <v>3.901</v>
      </c>
      <c r="F113" s="127" t="n">
        <v>0.1925</v>
      </c>
      <c r="G113" s="127" t="n">
        <v>0.04</v>
      </c>
      <c r="H113" s="127" t="n">
        <v>0.005</v>
      </c>
      <c r="I113" s="127" t="n">
        <v>0</v>
      </c>
      <c r="J113" s="127" t="n">
        <v>0.0025</v>
      </c>
      <c r="K113" s="127" t="n">
        <v>0.0275</v>
      </c>
      <c r="L113" s="0" t="n">
        <v>-0.01</v>
      </c>
      <c r="M113" s="128" t="n">
        <v>0.25</v>
      </c>
      <c r="N113" s="0" t="n">
        <v>0.068</v>
      </c>
      <c r="O113" s="55" t="n">
        <v>0.48</v>
      </c>
      <c r="P113" s="55" t="n">
        <v>0.035</v>
      </c>
    </row>
    <row r="114" customFormat="false" ht="12.75" hidden="false" customHeight="false" outlineLevel="0" collapsed="false">
      <c r="A114" s="128"/>
      <c r="B114" s="128"/>
      <c r="C114" s="126" t="e">
        <f aca="false">NextMonth(C113)</f>
        <v>#VALUE!</v>
      </c>
      <c r="D114" s="127" t="n">
        <v>0.0605591376941783</v>
      </c>
      <c r="E114" s="127" t="n">
        <v>3.949</v>
      </c>
      <c r="F114" s="127" t="n">
        <v>0.1925</v>
      </c>
      <c r="G114" s="127" t="n">
        <v>0.04</v>
      </c>
      <c r="H114" s="127" t="n">
        <v>0.005</v>
      </c>
      <c r="I114" s="127" t="n">
        <v>0</v>
      </c>
      <c r="J114" s="127" t="n">
        <v>0.0025</v>
      </c>
      <c r="K114" s="127" t="n">
        <v>0.03</v>
      </c>
      <c r="L114" s="0" t="n">
        <v>-0.01</v>
      </c>
      <c r="M114" s="128" t="n">
        <v>0.25</v>
      </c>
      <c r="N114" s="0" t="n">
        <v>0.068</v>
      </c>
      <c r="O114" s="55" t="n">
        <v>0.48</v>
      </c>
      <c r="P114" s="55" t="n">
        <v>0.035</v>
      </c>
    </row>
    <row r="115" customFormat="false" ht="12.75" hidden="false" customHeight="false" outlineLevel="0" collapsed="false">
      <c r="A115" s="128"/>
      <c r="B115" s="128"/>
      <c r="C115" s="126" t="e">
        <f aca="false">NextMonth(C114)</f>
        <v>#VALUE!</v>
      </c>
      <c r="D115" s="127" t="n">
        <v>0.0606384397187756</v>
      </c>
      <c r="E115" s="127" t="n">
        <v>3.963</v>
      </c>
      <c r="F115" s="127" t="n">
        <v>0.1925</v>
      </c>
      <c r="G115" s="127" t="n">
        <v>0.04</v>
      </c>
      <c r="H115" s="127" t="n">
        <v>0.005</v>
      </c>
      <c r="I115" s="127" t="n">
        <v>0</v>
      </c>
      <c r="J115" s="127" t="n">
        <v>0.0025</v>
      </c>
      <c r="K115" s="127" t="n">
        <v>0.0225</v>
      </c>
      <c r="L115" s="0" t="n">
        <v>-0.01</v>
      </c>
      <c r="M115" s="128" t="n">
        <v>0.25</v>
      </c>
      <c r="N115" s="0" t="n">
        <v>0.068</v>
      </c>
      <c r="O115" s="55" t="n">
        <v>0.44</v>
      </c>
      <c r="P115" s="55" t="n">
        <v>0.035</v>
      </c>
    </row>
    <row r="116" customFormat="false" ht="12.75" hidden="false" customHeight="false" outlineLevel="0" collapsed="false">
      <c r="A116" s="128"/>
      <c r="B116" s="128"/>
      <c r="C116" s="126" t="e">
        <f aca="false">NextMonth(C115)</f>
        <v>#VALUE!</v>
      </c>
      <c r="D116" s="127" t="n">
        <v>0.0607151836155357</v>
      </c>
      <c r="E116" s="127" t="n">
        <v>3.991</v>
      </c>
      <c r="F116" s="127" t="n">
        <v>0.1925</v>
      </c>
      <c r="G116" s="127" t="n">
        <v>0.04</v>
      </c>
      <c r="H116" s="127" t="n">
        <v>0.005</v>
      </c>
      <c r="I116" s="127" t="n">
        <v>0</v>
      </c>
      <c r="J116" s="127" t="n">
        <v>0.0025</v>
      </c>
      <c r="K116" s="127" t="n">
        <v>0.0125</v>
      </c>
      <c r="L116" s="0" t="n">
        <v>-0.015</v>
      </c>
      <c r="M116" s="128" t="n">
        <v>0.25</v>
      </c>
      <c r="N116" s="0" t="n">
        <v>0.068</v>
      </c>
      <c r="O116" s="55" t="n">
        <v>0.45</v>
      </c>
      <c r="P116" s="55" t="n">
        <v>0.035</v>
      </c>
    </row>
    <row r="117" customFormat="false" ht="12.75" hidden="false" customHeight="false" outlineLevel="0" collapsed="false">
      <c r="A117" s="128"/>
      <c r="B117" s="128"/>
      <c r="C117" s="126" t="e">
        <f aca="false">NextMonth(C116)</f>
        <v>#VALUE!</v>
      </c>
      <c r="D117" s="127" t="n">
        <v>0.0607944856442431</v>
      </c>
      <c r="E117" s="127" t="n">
        <v>4.126</v>
      </c>
      <c r="F117" s="127" t="n">
        <v>0.1925</v>
      </c>
      <c r="G117" s="127" t="n">
        <v>0.14</v>
      </c>
      <c r="H117" s="127" t="n">
        <v>0.02</v>
      </c>
      <c r="I117" s="127" t="n">
        <v>0</v>
      </c>
      <c r="J117" s="127" t="n">
        <v>0.0025</v>
      </c>
      <c r="K117" s="127" t="n">
        <v>-0.02</v>
      </c>
      <c r="L117" s="0" t="n">
        <v>-0.02</v>
      </c>
      <c r="M117" s="128" t="n">
        <v>0.26</v>
      </c>
      <c r="N117" s="0" t="n">
        <v>0.1</v>
      </c>
      <c r="O117" s="55" t="n">
        <v>0.86</v>
      </c>
      <c r="P117" s="55" t="n">
        <v>0.1</v>
      </c>
    </row>
    <row r="118" customFormat="false" ht="12.75" hidden="false" customHeight="false" outlineLevel="0" collapsed="false">
      <c r="A118" s="128"/>
      <c r="B118" s="128"/>
      <c r="C118" s="126" t="e">
        <f aca="false">NextMonth(C117)</f>
        <v>#VALUE!</v>
      </c>
      <c r="D118" s="127" t="n">
        <v>0.0608712295449805</v>
      </c>
      <c r="E118" s="127" t="n">
        <v>4.261</v>
      </c>
      <c r="F118" s="127" t="n">
        <v>0.1925</v>
      </c>
      <c r="G118" s="127" t="n">
        <v>0.14</v>
      </c>
      <c r="H118" s="127" t="n">
        <v>0.02</v>
      </c>
      <c r="I118" s="127" t="n">
        <v>0</v>
      </c>
      <c r="J118" s="127" t="n">
        <v>0.0025</v>
      </c>
      <c r="K118" s="127" t="n">
        <v>-0.0425</v>
      </c>
      <c r="L118" s="0" t="n">
        <v>-0.025</v>
      </c>
      <c r="M118" s="128" t="n">
        <v>0.26</v>
      </c>
      <c r="N118" s="0" t="n">
        <v>0.1</v>
      </c>
      <c r="O118" s="55" t="n">
        <v>1.28</v>
      </c>
      <c r="P118" s="55" t="n">
        <v>0.3</v>
      </c>
    </row>
    <row r="119" customFormat="false" ht="12.75" hidden="false" customHeight="false" outlineLevel="0" collapsed="false">
      <c r="A119" s="128"/>
      <c r="B119" s="128"/>
      <c r="C119" s="126" t="e">
        <f aca="false">NextMonth(C118)</f>
        <v>#VALUE!</v>
      </c>
      <c r="D119" s="127" t="n">
        <v>0.0609505315777983</v>
      </c>
      <c r="E119" s="127" t="n">
        <v>4.361</v>
      </c>
      <c r="F119" s="127" t="n">
        <v>0.1925</v>
      </c>
      <c r="G119" s="127" t="n">
        <v>0.14</v>
      </c>
      <c r="H119" s="127" t="n">
        <v>0.02</v>
      </c>
      <c r="I119" s="127" t="n">
        <v>0</v>
      </c>
      <c r="J119" s="127" t="n">
        <v>0.0025</v>
      </c>
      <c r="K119" s="127" t="n">
        <v>-0.045</v>
      </c>
      <c r="L119" s="0" t="n">
        <v>-0.025</v>
      </c>
      <c r="M119" s="128" t="n">
        <v>0.26</v>
      </c>
      <c r="N119" s="0" t="n">
        <v>0.1</v>
      </c>
      <c r="O119" s="55" t="n">
        <v>1.61</v>
      </c>
      <c r="P119" s="55" t="n">
        <v>0.5</v>
      </c>
    </row>
    <row r="120" customFormat="false" ht="12.75" hidden="false" customHeight="false" outlineLevel="0" collapsed="false">
      <c r="A120" s="128"/>
      <c r="B120" s="128"/>
      <c r="C120" s="126" t="e">
        <f aca="false">NextMonth(C119)</f>
        <v>#VALUE!</v>
      </c>
      <c r="D120" s="127" t="n">
        <v>0.0610298336127042</v>
      </c>
      <c r="E120" s="127" t="n">
        <v>4.243</v>
      </c>
      <c r="F120" s="127" t="n">
        <v>0.1875</v>
      </c>
      <c r="G120" s="127" t="n">
        <v>0.14</v>
      </c>
      <c r="H120" s="127" t="n">
        <v>0.02</v>
      </c>
      <c r="I120" s="127" t="n">
        <v>0</v>
      </c>
      <c r="J120" s="127" t="n">
        <v>0.0025</v>
      </c>
      <c r="K120" s="127" t="n">
        <v>-0.0275</v>
      </c>
      <c r="L120" s="0" t="n">
        <v>-0.025</v>
      </c>
      <c r="M120" s="128" t="n">
        <v>0.26</v>
      </c>
      <c r="N120" s="0" t="n">
        <v>0.1</v>
      </c>
      <c r="O120" s="55" t="n">
        <v>1.57</v>
      </c>
      <c r="P120" s="55" t="n">
        <v>0.5</v>
      </c>
    </row>
    <row r="121" customFormat="false" ht="12.75" hidden="false" customHeight="false" outlineLevel="0" collapsed="false">
      <c r="A121" s="128"/>
      <c r="B121" s="128"/>
      <c r="C121" s="126" t="e">
        <f aca="false">NextMonth(C120)</f>
        <v>#VALUE!</v>
      </c>
      <c r="D121" s="127" t="n">
        <v>0.06110146125893</v>
      </c>
      <c r="E121" s="127" t="n">
        <v>4.11</v>
      </c>
      <c r="F121" s="127" t="n">
        <v>0.185</v>
      </c>
      <c r="G121" s="127" t="n">
        <v>0.14</v>
      </c>
      <c r="H121" s="127" t="n">
        <v>0.02</v>
      </c>
      <c r="I121" s="127" t="n">
        <v>0</v>
      </c>
      <c r="J121" s="127" t="n">
        <v>0.0025</v>
      </c>
      <c r="K121" s="127" t="n">
        <v>-0.015</v>
      </c>
      <c r="L121" s="0" t="n">
        <v>-0.02</v>
      </c>
      <c r="M121" s="128" t="n">
        <v>0.26</v>
      </c>
      <c r="N121" s="0" t="n">
        <v>0.1</v>
      </c>
      <c r="O121" s="55" t="n">
        <v>0.93</v>
      </c>
      <c r="P121" s="55" t="n">
        <v>0.1</v>
      </c>
    </row>
    <row r="122" customFormat="false" ht="12.75" hidden="false" customHeight="false" outlineLevel="0" collapsed="false">
      <c r="A122" s="128"/>
      <c r="B122" s="128"/>
      <c r="C122" s="126" t="e">
        <f aca="false">NextMonth(C121)</f>
        <v>#VALUE!</v>
      </c>
      <c r="D122" s="127" t="n">
        <v>0.061180763297811</v>
      </c>
      <c r="E122" s="127" t="n">
        <v>3.895</v>
      </c>
      <c r="F122" s="127" t="n">
        <v>0.185</v>
      </c>
      <c r="G122" s="127" t="n">
        <v>0.04</v>
      </c>
      <c r="H122" s="127" t="n">
        <v>0.005</v>
      </c>
      <c r="I122" s="127" t="n">
        <v>0</v>
      </c>
      <c r="J122" s="127" t="n">
        <v>0.0025</v>
      </c>
      <c r="K122" s="127" t="n">
        <v>0.02</v>
      </c>
      <c r="L122" s="0" t="n">
        <v>-0.015</v>
      </c>
      <c r="M122" s="128" t="n">
        <v>0.25</v>
      </c>
      <c r="N122" s="0" t="n">
        <v>0.07</v>
      </c>
      <c r="O122" s="55" t="n">
        <v>0.48</v>
      </c>
      <c r="P122" s="55" t="n">
        <v>0.02</v>
      </c>
    </row>
    <row r="123" customFormat="false" ht="12.75" hidden="false" customHeight="false" outlineLevel="0" collapsed="false">
      <c r="A123" s="128"/>
      <c r="B123" s="128"/>
      <c r="C123" s="126" t="e">
        <f aca="false">NextMonth(C122)</f>
        <v>#VALUE!</v>
      </c>
      <c r="D123" s="127" t="n">
        <v>0.0612575072083938</v>
      </c>
      <c r="E123" s="127" t="n">
        <v>3.885</v>
      </c>
      <c r="F123" s="127" t="n">
        <v>0.185</v>
      </c>
      <c r="G123" s="127" t="n">
        <v>0.04</v>
      </c>
      <c r="H123" s="127" t="n">
        <v>0.005</v>
      </c>
      <c r="I123" s="127" t="n">
        <v>0</v>
      </c>
      <c r="J123" s="127" t="n">
        <v>0.0025</v>
      </c>
      <c r="K123" s="127" t="n">
        <v>0.02</v>
      </c>
      <c r="L123" s="0" t="n">
        <v>-0.015</v>
      </c>
      <c r="M123" s="128" t="n">
        <v>0.25</v>
      </c>
      <c r="N123" s="0" t="n">
        <v>0.07</v>
      </c>
      <c r="O123" s="55" t="n">
        <v>0.42</v>
      </c>
      <c r="P123" s="55" t="n">
        <v>0.02</v>
      </c>
    </row>
    <row r="124" customFormat="false" ht="12.75" hidden="false" customHeight="false" outlineLevel="0" collapsed="false">
      <c r="A124" s="128"/>
      <c r="B124" s="128"/>
      <c r="C124" s="126" t="e">
        <f aca="false">NextMonth(C123)</f>
        <v>#VALUE!</v>
      </c>
      <c r="D124" s="127" t="n">
        <v>0.061336809251384</v>
      </c>
      <c r="E124" s="127" t="n">
        <v>3.921</v>
      </c>
      <c r="F124" s="127" t="n">
        <v>0.185</v>
      </c>
      <c r="G124" s="127" t="n">
        <v>0.04</v>
      </c>
      <c r="H124" s="127" t="n">
        <v>0.005</v>
      </c>
      <c r="I124" s="127" t="n">
        <v>0</v>
      </c>
      <c r="J124" s="127" t="n">
        <v>0.0025</v>
      </c>
      <c r="K124" s="127" t="n">
        <v>0.025</v>
      </c>
      <c r="L124" s="0" t="n">
        <v>-0.015</v>
      </c>
      <c r="M124" s="128" t="n">
        <v>0.25</v>
      </c>
      <c r="N124" s="0" t="n">
        <v>0.07</v>
      </c>
      <c r="O124" s="55" t="n">
        <v>0.42</v>
      </c>
      <c r="P124" s="55" t="n">
        <v>0.035</v>
      </c>
    </row>
    <row r="125" customFormat="false" ht="12.75" hidden="false" customHeight="false" outlineLevel="0" collapsed="false">
      <c r="A125" s="128"/>
      <c r="B125" s="128"/>
      <c r="C125" s="126" t="e">
        <f aca="false">NextMonth(C124)</f>
        <v>#VALUE!</v>
      </c>
      <c r="D125" s="127" t="n">
        <v>0.0614135531659432</v>
      </c>
      <c r="E125" s="127" t="n">
        <v>3.966</v>
      </c>
      <c r="F125" s="127" t="n">
        <v>0.185</v>
      </c>
      <c r="G125" s="127" t="n">
        <v>0.04</v>
      </c>
      <c r="H125" s="127" t="n">
        <v>0.005</v>
      </c>
      <c r="I125" s="127" t="n">
        <v>0</v>
      </c>
      <c r="J125" s="127" t="n">
        <v>0.0025</v>
      </c>
      <c r="K125" s="127" t="n">
        <v>0.0275</v>
      </c>
      <c r="L125" s="0" t="n">
        <v>-0.01</v>
      </c>
      <c r="M125" s="128" t="n">
        <v>0.25</v>
      </c>
      <c r="N125" s="0" t="n">
        <v>0.07</v>
      </c>
      <c r="O125" s="55" t="n">
        <v>0.48</v>
      </c>
      <c r="P125" s="55" t="n">
        <v>0.035</v>
      </c>
    </row>
    <row r="126" customFormat="false" ht="12.75" hidden="false" customHeight="false" outlineLevel="0" collapsed="false">
      <c r="A126" s="128"/>
      <c r="B126" s="128"/>
      <c r="C126" s="126" t="e">
        <f aca="false">NextMonth(C125)</f>
        <v>#VALUE!</v>
      </c>
      <c r="D126" s="127" t="n">
        <v>0.0614928552130416</v>
      </c>
      <c r="E126" s="127" t="n">
        <v>4.014</v>
      </c>
      <c r="F126" s="127" t="n">
        <v>0.185</v>
      </c>
      <c r="G126" s="127" t="n">
        <v>0.04</v>
      </c>
      <c r="H126" s="127" t="n">
        <v>0.005</v>
      </c>
      <c r="I126" s="127" t="n">
        <v>0</v>
      </c>
      <c r="J126" s="127" t="n">
        <v>0.0025</v>
      </c>
      <c r="K126" s="127" t="n">
        <v>0.03</v>
      </c>
      <c r="L126" s="0" t="n">
        <v>-0.01</v>
      </c>
      <c r="M126" s="128" t="n">
        <v>0.25</v>
      </c>
      <c r="N126" s="0" t="n">
        <v>0.07</v>
      </c>
      <c r="O126" s="55" t="n">
        <v>0.48</v>
      </c>
      <c r="P126" s="55" t="n">
        <v>0.035</v>
      </c>
    </row>
    <row r="127" customFormat="false" ht="12.75" hidden="false" customHeight="false" outlineLevel="0" collapsed="false">
      <c r="A127" s="128"/>
      <c r="B127" s="128"/>
      <c r="C127" s="126" t="e">
        <f aca="false">NextMonth(C126)</f>
        <v>#VALUE!</v>
      </c>
      <c r="D127" s="127" t="n">
        <v>0.061572157262229</v>
      </c>
      <c r="E127" s="127" t="n">
        <v>4.028</v>
      </c>
      <c r="F127" s="127" t="n">
        <v>0.185</v>
      </c>
      <c r="G127" s="127" t="n">
        <v>0.04</v>
      </c>
      <c r="H127" s="127" t="n">
        <v>0.005</v>
      </c>
      <c r="I127" s="127" t="n">
        <v>0</v>
      </c>
      <c r="J127" s="127" t="n">
        <v>0.0025</v>
      </c>
      <c r="K127" s="127" t="n">
        <v>0.0225</v>
      </c>
      <c r="L127" s="0" t="n">
        <v>-0.01</v>
      </c>
      <c r="M127" s="128" t="n">
        <v>0.25</v>
      </c>
      <c r="N127" s="0" t="n">
        <v>0.07</v>
      </c>
      <c r="O127" s="55" t="n">
        <v>0.44</v>
      </c>
      <c r="P127" s="55" t="n">
        <v>0.035</v>
      </c>
    </row>
    <row r="128" customFormat="false" ht="12.75" hidden="false" customHeight="false" outlineLevel="0" collapsed="false">
      <c r="A128" s="128"/>
      <c r="B128" s="128"/>
      <c r="C128" s="126" t="e">
        <f aca="false">NextMonth(C127)</f>
        <v>#VALUE!</v>
      </c>
      <c r="D128" s="127" t="n">
        <v>0.0616489011827848</v>
      </c>
      <c r="E128" s="127" t="n">
        <v>4.056</v>
      </c>
      <c r="F128" s="127" t="n">
        <v>0.185</v>
      </c>
      <c r="G128" s="127" t="n">
        <v>0.04</v>
      </c>
      <c r="H128" s="127" t="n">
        <v>0.005</v>
      </c>
      <c r="I128" s="127" t="n">
        <v>0</v>
      </c>
      <c r="J128" s="127" t="n">
        <v>0.0025</v>
      </c>
      <c r="K128" s="127" t="n">
        <v>0.0125</v>
      </c>
      <c r="L128" s="0" t="n">
        <v>-0.015</v>
      </c>
      <c r="M128" s="128" t="n">
        <v>0.25</v>
      </c>
      <c r="N128" s="0" t="n">
        <v>0.07</v>
      </c>
      <c r="O128" s="55" t="n">
        <v>0.45</v>
      </c>
      <c r="P128" s="55" t="n">
        <v>0.035</v>
      </c>
    </row>
    <row r="129" customFormat="false" ht="12.75" hidden="false" customHeight="false" outlineLevel="0" collapsed="false">
      <c r="A129" s="128"/>
      <c r="B129" s="128"/>
      <c r="C129" s="126" t="e">
        <f aca="false">NextMonth(C128)</f>
        <v>#VALUE!</v>
      </c>
      <c r="D129" s="127" t="n">
        <v>0.06172820323608</v>
      </c>
      <c r="E129" s="127" t="n">
        <v>4.191</v>
      </c>
      <c r="F129" s="127" t="n">
        <v>0.185</v>
      </c>
      <c r="G129" s="127" t="n">
        <v>0.14</v>
      </c>
      <c r="H129" s="127" t="n">
        <v>0.02</v>
      </c>
      <c r="I129" s="127" t="n">
        <v>0</v>
      </c>
      <c r="J129" s="127" t="n">
        <v>0.0025</v>
      </c>
      <c r="K129" s="127" t="n">
        <v>-0.02</v>
      </c>
      <c r="L129" s="0" t="n">
        <v>-0.02</v>
      </c>
      <c r="M129" s="128" t="n">
        <v>0.35</v>
      </c>
      <c r="N129" s="0" t="n">
        <v>0.102</v>
      </c>
      <c r="O129" s="55" t="n">
        <v>0.86</v>
      </c>
      <c r="P129" s="55" t="n">
        <v>0.1</v>
      </c>
    </row>
    <row r="130" customFormat="false" ht="12.75" hidden="false" customHeight="false" outlineLevel="0" collapsed="false">
      <c r="A130" s="128"/>
      <c r="B130" s="128"/>
      <c r="C130" s="126" t="e">
        <f aca="false">NextMonth(C129)</f>
        <v>#VALUE!</v>
      </c>
      <c r="D130" s="127" t="n">
        <v>0.0618049471606117</v>
      </c>
      <c r="E130" s="127" t="n">
        <v>4.326</v>
      </c>
      <c r="F130" s="127" t="n">
        <v>0.185</v>
      </c>
      <c r="G130" s="127" t="n">
        <v>0.14</v>
      </c>
      <c r="H130" s="127" t="n">
        <v>0.02</v>
      </c>
      <c r="I130" s="127" t="n">
        <v>0</v>
      </c>
      <c r="J130" s="127" t="n">
        <v>0.0025</v>
      </c>
      <c r="K130" s="127" t="n">
        <v>-0.0425</v>
      </c>
      <c r="L130" s="0" t="n">
        <v>-0.025</v>
      </c>
      <c r="M130" s="128" t="n">
        <v>0.35</v>
      </c>
      <c r="N130" s="0" t="n">
        <v>0.102</v>
      </c>
      <c r="O130" s="55" t="n">
        <v>1.28</v>
      </c>
      <c r="P130" s="55" t="n">
        <v>0.3</v>
      </c>
    </row>
    <row r="131" customFormat="false" ht="12.75" hidden="false" customHeight="false" outlineLevel="0" collapsed="false">
      <c r="A131" s="128"/>
      <c r="B131" s="128"/>
      <c r="C131" s="126" t="e">
        <f aca="false">NextMonth(C130)</f>
        <v>#VALUE!</v>
      </c>
      <c r="D131" s="127" t="n">
        <v>0.0618842492180156</v>
      </c>
      <c r="E131" s="127" t="n">
        <v>4.431</v>
      </c>
      <c r="F131" s="127" t="n">
        <v>0.185</v>
      </c>
      <c r="G131" s="127" t="n">
        <v>0.14</v>
      </c>
      <c r="H131" s="127" t="n">
        <v>0.02</v>
      </c>
      <c r="I131" s="127" t="n">
        <v>0</v>
      </c>
      <c r="J131" s="127" t="n">
        <v>0.0025</v>
      </c>
      <c r="K131" s="127" t="n">
        <v>-0.045</v>
      </c>
      <c r="L131" s="0" t="n">
        <v>-0.025</v>
      </c>
      <c r="M131" s="128" t="n">
        <v>0.35</v>
      </c>
      <c r="N131" s="0" t="n">
        <v>0.102</v>
      </c>
      <c r="O131" s="55" t="n">
        <v>1.61</v>
      </c>
      <c r="P131" s="55" t="n">
        <v>0.5</v>
      </c>
    </row>
    <row r="132" customFormat="false" ht="12.75" hidden="false" customHeight="false" outlineLevel="0" collapsed="false">
      <c r="A132" s="128"/>
      <c r="B132" s="128"/>
      <c r="C132" s="126" t="e">
        <f aca="false">NextMonth(C131)</f>
        <v>#VALUE!</v>
      </c>
      <c r="D132" s="127" t="n">
        <v>0.0619635512775072</v>
      </c>
      <c r="E132" s="127" t="n">
        <v>4.313</v>
      </c>
      <c r="F132" s="127" t="n">
        <v>0.185</v>
      </c>
      <c r="G132" s="127" t="n">
        <v>0.14</v>
      </c>
      <c r="H132" s="127" t="n">
        <v>0.02</v>
      </c>
      <c r="I132" s="127" t="n">
        <v>0</v>
      </c>
      <c r="J132" s="127" t="n">
        <v>0.0025</v>
      </c>
      <c r="K132" s="127" t="n">
        <v>-0.0275</v>
      </c>
      <c r="L132" s="0" t="n">
        <v>-0.025</v>
      </c>
      <c r="M132" s="128" t="n">
        <v>0.35</v>
      </c>
      <c r="N132" s="0" t="n">
        <v>0.102</v>
      </c>
      <c r="O132" s="55" t="n">
        <v>1.57</v>
      </c>
      <c r="P132" s="55" t="n">
        <v>0.5</v>
      </c>
    </row>
    <row r="133" customFormat="false" ht="12.75" hidden="false" customHeight="false" outlineLevel="0" collapsed="false">
      <c r="A133" s="128"/>
      <c r="B133" s="128"/>
      <c r="C133" s="126" t="e">
        <f aca="false">NextMonth(C132)</f>
        <v>#VALUE!</v>
      </c>
      <c r="D133" s="127" t="n">
        <v>0.0620351789459384</v>
      </c>
      <c r="E133" s="127" t="n">
        <v>4.18</v>
      </c>
      <c r="F133" s="127" t="n">
        <v>0.18</v>
      </c>
      <c r="G133" s="127" t="n">
        <v>0.14</v>
      </c>
      <c r="H133" s="127" t="n">
        <v>0.02</v>
      </c>
      <c r="I133" s="127" t="n">
        <v>0</v>
      </c>
      <c r="J133" s="127" t="n">
        <v>0.0025</v>
      </c>
      <c r="K133" s="127" t="n">
        <v>-0.015</v>
      </c>
      <c r="L133" s="0" t="n">
        <v>-0.02</v>
      </c>
      <c r="M133" s="128" t="n">
        <v>0.35</v>
      </c>
      <c r="N133" s="0" t="n">
        <v>0.102</v>
      </c>
      <c r="O133" s="55" t="n">
        <v>0.93</v>
      </c>
      <c r="P133" s="55" t="n">
        <v>0.1</v>
      </c>
    </row>
    <row r="134" customFormat="false" ht="12.75" hidden="false" customHeight="false" outlineLevel="0" collapsed="false">
      <c r="A134" s="128"/>
      <c r="B134" s="128"/>
      <c r="C134" s="126" t="e">
        <f aca="false">NextMonth(C133)</f>
        <v>#VALUE!</v>
      </c>
      <c r="D134" s="127" t="n">
        <v>0.0621144810094028</v>
      </c>
      <c r="E134" s="127" t="n">
        <v>3.965</v>
      </c>
      <c r="F134" s="127" t="n">
        <v>0.18</v>
      </c>
      <c r="G134" s="127" t="n">
        <v>0.04</v>
      </c>
      <c r="H134" s="127" t="n">
        <v>0.005</v>
      </c>
      <c r="I134" s="127" t="n">
        <v>0</v>
      </c>
      <c r="J134" s="127" t="n">
        <v>0.0025</v>
      </c>
      <c r="K134" s="127" t="n">
        <v>0.02</v>
      </c>
      <c r="L134" s="0" t="n">
        <v>-0.015</v>
      </c>
      <c r="M134" s="128" t="n">
        <v>0.43</v>
      </c>
      <c r="N134" s="0" t="n">
        <v>0.072</v>
      </c>
      <c r="O134" s="55" t="n">
        <v>0.48</v>
      </c>
      <c r="P134" s="55" t="n">
        <v>0.02</v>
      </c>
    </row>
    <row r="135" customFormat="false" ht="12.75" hidden="false" customHeight="false" outlineLevel="0" collapsed="false">
      <c r="A135" s="128"/>
      <c r="B135" s="128"/>
      <c r="C135" s="126" t="e">
        <f aca="false">NextMonth(C134)</f>
        <v>#VALUE!</v>
      </c>
      <c r="D135" s="127" t="n">
        <v>0.062191224943775</v>
      </c>
      <c r="E135" s="127" t="n">
        <v>3.955</v>
      </c>
      <c r="F135" s="127" t="n">
        <v>0.18</v>
      </c>
      <c r="G135" s="127" t="n">
        <v>0.04</v>
      </c>
      <c r="H135" s="127" t="n">
        <v>0.005</v>
      </c>
      <c r="I135" s="127" t="n">
        <v>0</v>
      </c>
      <c r="J135" s="127" t="n">
        <v>0.0025</v>
      </c>
      <c r="K135" s="127" t="n">
        <v>0.02</v>
      </c>
      <c r="L135" s="0" t="n">
        <v>-0.015</v>
      </c>
      <c r="M135" s="128" t="n">
        <v>0.43</v>
      </c>
      <c r="N135" s="0" t="n">
        <v>0</v>
      </c>
      <c r="O135" s="55" t="n">
        <v>0.42</v>
      </c>
      <c r="P135" s="55" t="n">
        <v>0.02</v>
      </c>
    </row>
    <row r="136" customFormat="false" ht="12.75" hidden="false" customHeight="false" outlineLevel="0" collapsed="false">
      <c r="A136" s="128"/>
      <c r="B136" s="128"/>
      <c r="C136" s="126" t="e">
        <f aca="false">NextMonth(C135)</f>
        <v>#VALUE!</v>
      </c>
      <c r="D136" s="127" t="n">
        <v>0.0622705270113468</v>
      </c>
      <c r="E136" s="127" t="n">
        <v>3.991</v>
      </c>
      <c r="F136" s="127" t="n">
        <v>0.18</v>
      </c>
      <c r="G136" s="127" t="n">
        <v>0.04</v>
      </c>
      <c r="H136" s="127" t="n">
        <v>0.005</v>
      </c>
      <c r="I136" s="127" t="n">
        <v>0</v>
      </c>
      <c r="J136" s="127" t="n">
        <v>0.0025</v>
      </c>
      <c r="K136" s="127" t="n">
        <v>0.025</v>
      </c>
      <c r="L136" s="0" t="n">
        <v>-0.015</v>
      </c>
      <c r="M136" s="128" t="n">
        <v>0.43</v>
      </c>
      <c r="N136" s="0" t="n">
        <v>0</v>
      </c>
      <c r="O136" s="55" t="n">
        <v>0.42</v>
      </c>
      <c r="P136" s="55" t="n">
        <v>0.035</v>
      </c>
    </row>
    <row r="137" customFormat="false" ht="12.75" hidden="false" customHeight="false" outlineLevel="0" collapsed="false">
      <c r="A137" s="128"/>
      <c r="B137" s="128"/>
      <c r="C137" s="126" t="e">
        <f aca="false">NextMonth(C136)</f>
        <v>#VALUE!</v>
      </c>
      <c r="D137" s="127" t="n">
        <v>0.0623349572155782</v>
      </c>
      <c r="E137" s="127" t="n">
        <v>4.036</v>
      </c>
      <c r="F137" s="127" t="n">
        <v>0.18</v>
      </c>
      <c r="G137" s="127" t="n">
        <v>0.04</v>
      </c>
      <c r="H137" s="127" t="n">
        <v>0.005</v>
      </c>
      <c r="I137" s="127" t="n">
        <v>0</v>
      </c>
      <c r="J137" s="127" t="n">
        <v>0.0025</v>
      </c>
      <c r="K137" s="127" t="n">
        <v>0.0275</v>
      </c>
      <c r="L137" s="0" t="n">
        <v>-0.01</v>
      </c>
      <c r="M137" s="128" t="n">
        <v>0.43</v>
      </c>
      <c r="N137" s="0" t="n">
        <v>0</v>
      </c>
      <c r="O137" s="55" t="n">
        <v>0.48</v>
      </c>
      <c r="P137" s="55" t="n">
        <v>0.035</v>
      </c>
    </row>
    <row r="138" customFormat="false" ht="12.75" hidden="false" customHeight="false" outlineLevel="0" collapsed="false">
      <c r="A138" s="128"/>
      <c r="B138" s="128"/>
      <c r="C138" s="126" t="e">
        <f aca="false">NextMonth(C137)</f>
        <v>#VALUE!</v>
      </c>
      <c r="D138" s="127" t="n">
        <v>0.0623760867104917</v>
      </c>
      <c r="E138" s="127" t="n">
        <v>4.084</v>
      </c>
      <c r="F138" s="127" t="n">
        <v>0.18</v>
      </c>
      <c r="G138" s="127" t="n">
        <v>0.04</v>
      </c>
      <c r="H138" s="127" t="n">
        <v>0.005</v>
      </c>
      <c r="I138" s="127" t="n">
        <v>0</v>
      </c>
      <c r="J138" s="127" t="n">
        <v>0.0025</v>
      </c>
      <c r="K138" s="127" t="n">
        <v>0.03</v>
      </c>
      <c r="L138" s="0" t="n">
        <v>-0.01</v>
      </c>
      <c r="M138" s="128" t="n">
        <v>0.43</v>
      </c>
      <c r="N138" s="0" t="n">
        <v>0</v>
      </c>
      <c r="O138" s="55" t="n">
        <v>0.48</v>
      </c>
      <c r="P138" s="55" t="n">
        <v>0.035</v>
      </c>
    </row>
    <row r="139" customFormat="false" ht="12.75" hidden="false" customHeight="false" outlineLevel="0" collapsed="false">
      <c r="A139" s="128"/>
      <c r="B139" s="128"/>
      <c r="C139" s="126" t="e">
        <f aca="false">NextMonth(C138)</f>
        <v>#VALUE!</v>
      </c>
      <c r="D139" s="127" t="n">
        <v>0.0624172162059664</v>
      </c>
      <c r="E139" s="127" t="n">
        <v>4.098</v>
      </c>
      <c r="F139" s="127" t="n">
        <v>0.18</v>
      </c>
      <c r="G139" s="127" t="n">
        <v>0.04</v>
      </c>
      <c r="H139" s="127" t="n">
        <v>0.005</v>
      </c>
      <c r="I139" s="127" t="n">
        <v>0</v>
      </c>
      <c r="J139" s="127" t="n">
        <v>0.0025</v>
      </c>
      <c r="K139" s="127" t="n">
        <v>0.0225</v>
      </c>
      <c r="L139" s="0" t="n">
        <v>-0.01</v>
      </c>
      <c r="M139" s="128" t="n">
        <v>0.43</v>
      </c>
      <c r="N139" s="0" t="n">
        <v>0</v>
      </c>
      <c r="O139" s="55" t="n">
        <v>0.44</v>
      </c>
      <c r="P139" s="55" t="n">
        <v>0.035</v>
      </c>
    </row>
    <row r="140" customFormat="false" ht="12.75" hidden="false" customHeight="false" outlineLevel="0" collapsed="false">
      <c r="A140" s="128"/>
      <c r="B140" s="128"/>
      <c r="C140" s="126" t="e">
        <f aca="false">NextMonth(C139)</f>
        <v>#VALUE!</v>
      </c>
      <c r="D140" s="127" t="n">
        <v>0.0624570189440572</v>
      </c>
      <c r="E140" s="127" t="n">
        <v>4.126</v>
      </c>
      <c r="F140" s="127" t="n">
        <v>0.18</v>
      </c>
      <c r="G140" s="127" t="n">
        <v>0.04</v>
      </c>
      <c r="H140" s="127" t="n">
        <v>0.005</v>
      </c>
      <c r="I140" s="127" t="n">
        <v>0</v>
      </c>
      <c r="J140" s="127" t="n">
        <v>0.0025</v>
      </c>
      <c r="K140" s="127" t="n">
        <v>0.0125</v>
      </c>
      <c r="L140" s="0" t="n">
        <v>-0.015</v>
      </c>
      <c r="M140" s="128" t="n">
        <v>0.43</v>
      </c>
      <c r="N140" s="0" t="n">
        <v>0</v>
      </c>
      <c r="O140" s="55" t="n">
        <v>0.45</v>
      </c>
      <c r="P140" s="55" t="n">
        <v>0.035</v>
      </c>
    </row>
    <row r="141" customFormat="false" ht="12.75" hidden="false" customHeight="false" outlineLevel="0" collapsed="false">
      <c r="A141" s="128"/>
      <c r="B141" s="128"/>
      <c r="C141" s="126" t="e">
        <f aca="false">NextMonth(C140)</f>
        <v>#VALUE!</v>
      </c>
      <c r="D141" s="127" t="n">
        <v>0.0624981484406364</v>
      </c>
      <c r="E141" s="127" t="n">
        <v>4.261</v>
      </c>
      <c r="F141" s="127" t="n">
        <v>0.18</v>
      </c>
      <c r="G141" s="127" t="n">
        <v>0.14</v>
      </c>
      <c r="H141" s="127" t="n">
        <v>0.02</v>
      </c>
      <c r="I141" s="127" t="n">
        <v>0</v>
      </c>
      <c r="J141" s="127" t="n">
        <v>0.0025</v>
      </c>
      <c r="K141" s="127" t="n">
        <v>-0.02</v>
      </c>
      <c r="L141" s="0" t="n">
        <v>-0.02</v>
      </c>
      <c r="M141" s="128" t="n">
        <v>0.35</v>
      </c>
      <c r="N141" s="0" t="n">
        <v>0</v>
      </c>
      <c r="O141" s="55" t="n">
        <v>0.86</v>
      </c>
      <c r="P141" s="55" t="n">
        <v>0.1</v>
      </c>
    </row>
    <row r="142" customFormat="false" ht="12.75" hidden="false" customHeight="false" outlineLevel="0" collapsed="false">
      <c r="A142" s="128"/>
      <c r="B142" s="128"/>
      <c r="C142" s="126" t="e">
        <f aca="false">NextMonth(C141)</f>
        <v>#VALUE!</v>
      </c>
      <c r="D142" s="127" t="n">
        <v>0.0625379511797966</v>
      </c>
      <c r="E142" s="127" t="n">
        <v>4.396</v>
      </c>
      <c r="F142" s="127" t="n">
        <v>0.18</v>
      </c>
      <c r="G142" s="127" t="n">
        <v>0.14</v>
      </c>
      <c r="H142" s="127" t="n">
        <v>0.02</v>
      </c>
      <c r="I142" s="127" t="n">
        <v>0</v>
      </c>
      <c r="J142" s="127" t="n">
        <v>0.0025</v>
      </c>
      <c r="K142" s="127" t="n">
        <v>-0.0425</v>
      </c>
      <c r="L142" s="0" t="n">
        <v>-0.025</v>
      </c>
      <c r="M142" s="128" t="n">
        <v>0.35</v>
      </c>
      <c r="N142" s="0" t="n">
        <v>0</v>
      </c>
      <c r="O142" s="55" t="n">
        <v>1.28</v>
      </c>
      <c r="P142" s="55" t="n">
        <v>0.3</v>
      </c>
    </row>
    <row r="143" customFormat="false" ht="12.75" hidden="false" customHeight="false" outlineLevel="0" collapsed="false">
      <c r="A143" s="128"/>
      <c r="B143" s="128"/>
      <c r="C143" s="126" t="e">
        <f aca="false">NextMonth(C142)</f>
        <v>#VALUE!</v>
      </c>
      <c r="D143" s="127" t="n">
        <v>0.0625790806774806</v>
      </c>
      <c r="E143" s="127" t="n">
        <v>4.506</v>
      </c>
      <c r="F143" s="127" t="n">
        <v>0.18</v>
      </c>
      <c r="G143" s="127" t="n">
        <v>0.14</v>
      </c>
      <c r="H143" s="127" t="n">
        <v>0.02</v>
      </c>
      <c r="I143" s="127" t="n">
        <v>0</v>
      </c>
      <c r="J143" s="127" t="n">
        <v>0.0025</v>
      </c>
      <c r="K143" s="127" t="n">
        <v>-0.045</v>
      </c>
      <c r="L143" s="0" t="n">
        <v>-0.025</v>
      </c>
      <c r="M143" s="128" t="n">
        <v>0.35</v>
      </c>
      <c r="N143" s="0" t="n">
        <v>0</v>
      </c>
      <c r="O143" s="55" t="n">
        <v>1.61</v>
      </c>
      <c r="P143" s="55" t="n">
        <v>0.5</v>
      </c>
    </row>
    <row r="144" customFormat="false" ht="12.75" hidden="false" customHeight="false" outlineLevel="0" collapsed="false">
      <c r="A144" s="128"/>
      <c r="B144" s="128"/>
      <c r="C144" s="126" t="e">
        <f aca="false">NextMonth(C143)</f>
        <v>#VALUE!</v>
      </c>
      <c r="D144" s="127" t="n">
        <v>0.062620210175726</v>
      </c>
      <c r="E144" s="127" t="n">
        <v>4.388</v>
      </c>
      <c r="F144" s="127" t="n">
        <v>0.175</v>
      </c>
      <c r="G144" s="127" t="n">
        <v>0.14</v>
      </c>
      <c r="H144" s="127" t="n">
        <v>0.02</v>
      </c>
      <c r="I144" s="127" t="n">
        <v>0</v>
      </c>
      <c r="J144" s="127" t="n">
        <v>0.0025</v>
      </c>
      <c r="K144" s="127" t="n">
        <v>-0.0275</v>
      </c>
      <c r="L144" s="0" t="n">
        <v>-0.025</v>
      </c>
      <c r="M144" s="128" t="n">
        <v>0.35</v>
      </c>
      <c r="N144" s="0" t="n">
        <v>0</v>
      </c>
      <c r="O144" s="55" t="n">
        <v>1.57</v>
      </c>
      <c r="P144" s="55" t="n">
        <v>0.5</v>
      </c>
    </row>
    <row r="145" customFormat="false" ht="12.75" hidden="false" customHeight="false" outlineLevel="0" collapsed="false">
      <c r="A145" s="128"/>
      <c r="B145" s="128"/>
      <c r="C145" s="126" t="e">
        <f aca="false">NextMonth(C144)</f>
        <v>#VALUE!</v>
      </c>
      <c r="D145" s="127" t="n">
        <v>0.0626586861584637</v>
      </c>
      <c r="E145" s="127" t="n">
        <v>4.255</v>
      </c>
      <c r="F145" s="127" t="n">
        <v>0.17</v>
      </c>
      <c r="G145" s="127" t="n">
        <v>0.14</v>
      </c>
      <c r="H145" s="127" t="n">
        <v>0.02</v>
      </c>
      <c r="I145" s="127" t="n">
        <v>0</v>
      </c>
      <c r="J145" s="127" t="n">
        <v>0.0025</v>
      </c>
      <c r="K145" s="127" t="n">
        <v>-0.015</v>
      </c>
      <c r="L145" s="0" t="n">
        <v>-0.02</v>
      </c>
      <c r="M145" s="128" t="n">
        <v>0.35</v>
      </c>
      <c r="N145" s="0" t="n">
        <v>0</v>
      </c>
      <c r="O145" s="55" t="n">
        <v>0.93</v>
      </c>
      <c r="P145" s="55" t="n">
        <v>0.1</v>
      </c>
    </row>
    <row r="146" customFormat="false" ht="12.75" hidden="false" customHeight="false" outlineLevel="0" collapsed="false">
      <c r="A146" s="128"/>
      <c r="B146" s="128"/>
      <c r="C146" s="126" t="e">
        <f aca="false">NextMonth(C145)</f>
        <v>#VALUE!</v>
      </c>
      <c r="D146" s="127" t="n">
        <v>0.0626998156577954</v>
      </c>
      <c r="E146" s="127" t="n">
        <v>4.04</v>
      </c>
      <c r="F146" s="127" t="n">
        <v>0.17</v>
      </c>
      <c r="G146" s="127" t="n">
        <v>0.04</v>
      </c>
      <c r="H146" s="127" t="n">
        <v>0.005</v>
      </c>
      <c r="I146" s="127" t="n">
        <v>0</v>
      </c>
      <c r="J146" s="127" t="n">
        <v>0.0025</v>
      </c>
      <c r="K146" s="127" t="n">
        <v>0.02</v>
      </c>
      <c r="L146" s="0" t="n">
        <v>-0.015</v>
      </c>
      <c r="M146" s="128" t="n">
        <v>0.43</v>
      </c>
      <c r="N146" s="0" t="n">
        <v>0</v>
      </c>
      <c r="O146" s="55" t="n">
        <v>0.48</v>
      </c>
      <c r="P146" s="55" t="n">
        <v>0.02</v>
      </c>
    </row>
    <row r="147" customFormat="false" ht="12.75" hidden="false" customHeight="false" outlineLevel="0" collapsed="false">
      <c r="A147" s="128"/>
      <c r="B147" s="128"/>
      <c r="C147" s="126" t="e">
        <f aca="false">NextMonth(C146)</f>
        <v>#VALUE!</v>
      </c>
      <c r="D147" s="127" t="n">
        <v>0.0627396183996192</v>
      </c>
      <c r="E147" s="127" t="n">
        <v>4.03</v>
      </c>
      <c r="F147" s="127" t="n">
        <v>0.17</v>
      </c>
      <c r="G147" s="127" t="n">
        <v>0.04</v>
      </c>
      <c r="H147" s="127" t="n">
        <v>0.005</v>
      </c>
      <c r="I147" s="127" t="n">
        <v>0</v>
      </c>
      <c r="J147" s="127" t="n">
        <v>0.0025</v>
      </c>
      <c r="K147" s="127" t="n">
        <v>0.02</v>
      </c>
      <c r="L147" s="0" t="n">
        <v>-0.015</v>
      </c>
      <c r="M147" s="128" t="n">
        <v>0.43</v>
      </c>
      <c r="N147" s="0" t="n">
        <v>0</v>
      </c>
      <c r="O147" s="55" t="n">
        <v>0.42</v>
      </c>
      <c r="P147" s="55" t="n">
        <v>0.02</v>
      </c>
    </row>
    <row r="148" customFormat="false" ht="12.75" hidden="false" customHeight="false" outlineLevel="0" collapsed="false">
      <c r="A148" s="128"/>
      <c r="B148" s="128"/>
      <c r="C148" s="126" t="e">
        <f aca="false">NextMonth(C147)</f>
        <v>#VALUE!</v>
      </c>
      <c r="D148" s="127" t="n">
        <v>0.0627807479000557</v>
      </c>
      <c r="E148" s="127" t="n">
        <v>4.066</v>
      </c>
      <c r="F148" s="127" t="n">
        <v>0.17</v>
      </c>
      <c r="G148" s="127" t="n">
        <v>0.04</v>
      </c>
      <c r="H148" s="127" t="n">
        <v>0.005</v>
      </c>
      <c r="I148" s="127" t="n">
        <v>0</v>
      </c>
      <c r="J148" s="127" t="n">
        <v>0.0025</v>
      </c>
      <c r="K148" s="127" t="n">
        <v>0.025</v>
      </c>
      <c r="L148" s="0" t="n">
        <v>-0.015</v>
      </c>
      <c r="M148" s="128" t="n">
        <v>0.43</v>
      </c>
      <c r="N148" s="0" t="n">
        <v>0</v>
      </c>
      <c r="O148" s="55" t="n">
        <v>0.42</v>
      </c>
      <c r="P148" s="55" t="n">
        <v>0.035</v>
      </c>
    </row>
    <row r="149" customFormat="false" ht="12.75" hidden="false" customHeight="false" outlineLevel="0" collapsed="false">
      <c r="A149" s="128"/>
      <c r="B149" s="128"/>
      <c r="C149" s="126" t="e">
        <f aca="false">NextMonth(C148)</f>
        <v>#VALUE!</v>
      </c>
      <c r="D149" s="127" t="n">
        <v>0.062820550642948</v>
      </c>
      <c r="E149" s="127" t="n">
        <v>4.111</v>
      </c>
      <c r="F149" s="127" t="n">
        <v>0.17</v>
      </c>
      <c r="G149" s="127" t="n">
        <v>0.04</v>
      </c>
      <c r="H149" s="127" t="n">
        <v>0.005</v>
      </c>
      <c r="I149" s="127" t="n">
        <v>0</v>
      </c>
      <c r="J149" s="127" t="n">
        <v>0.0025</v>
      </c>
      <c r="K149" s="127" t="n">
        <v>0.0275</v>
      </c>
      <c r="L149" s="0" t="n">
        <v>-0.01</v>
      </c>
      <c r="M149" s="128" t="n">
        <v>0.43</v>
      </c>
      <c r="N149" s="0" t="n">
        <v>0</v>
      </c>
      <c r="O149" s="55" t="n">
        <v>0.48</v>
      </c>
      <c r="P149" s="55" t="n">
        <v>0.035</v>
      </c>
    </row>
    <row r="150" customFormat="false" ht="12.75" hidden="false" customHeight="false" outlineLevel="0" collapsed="false">
      <c r="A150" s="128"/>
      <c r="B150" s="128"/>
      <c r="C150" s="126" t="e">
        <f aca="false">NextMonth(C149)</f>
        <v>#VALUE!</v>
      </c>
      <c r="D150" s="127" t="n">
        <v>0.062861680144489</v>
      </c>
      <c r="E150" s="127" t="n">
        <v>4.159</v>
      </c>
      <c r="F150" s="127" t="n">
        <v>0.17</v>
      </c>
      <c r="G150" s="127" t="n">
        <v>0.04</v>
      </c>
      <c r="H150" s="127" t="n">
        <v>0.005</v>
      </c>
      <c r="I150" s="127" t="n">
        <v>0</v>
      </c>
      <c r="J150" s="127" t="n">
        <v>0.0025</v>
      </c>
      <c r="K150" s="127" t="n">
        <v>0.03</v>
      </c>
      <c r="L150" s="0" t="n">
        <v>-0.01</v>
      </c>
      <c r="M150" s="128" t="n">
        <v>0.43</v>
      </c>
      <c r="N150" s="0" t="n">
        <v>0</v>
      </c>
      <c r="O150" s="55" t="n">
        <v>0.48</v>
      </c>
      <c r="P150" s="55" t="n">
        <v>0.035</v>
      </c>
    </row>
    <row r="151" customFormat="false" ht="12.75" hidden="false" customHeight="false" outlineLevel="0" collapsed="false">
      <c r="A151" s="128"/>
      <c r="B151" s="128"/>
      <c r="C151" s="126" t="e">
        <f aca="false">NextMonth(C150)</f>
        <v>#VALUE!</v>
      </c>
      <c r="D151" s="127" t="n">
        <v>0.0629028096465909</v>
      </c>
      <c r="E151" s="127" t="n">
        <v>4.173</v>
      </c>
      <c r="F151" s="127" t="n">
        <v>0.17</v>
      </c>
      <c r="G151" s="127" t="n">
        <v>0.04</v>
      </c>
      <c r="H151" s="127" t="n">
        <v>0.005</v>
      </c>
      <c r="I151" s="127" t="n">
        <v>0</v>
      </c>
      <c r="J151" s="127" t="n">
        <v>0.0025</v>
      </c>
      <c r="K151" s="127" t="n">
        <v>0.0225</v>
      </c>
      <c r="L151" s="0" t="n">
        <v>-0.01</v>
      </c>
      <c r="M151" s="128" t="n">
        <v>0.43</v>
      </c>
      <c r="N151" s="0" t="n">
        <v>0</v>
      </c>
      <c r="O151" s="55" t="n">
        <v>0.44</v>
      </c>
      <c r="P151" s="55" t="n">
        <v>0.035</v>
      </c>
    </row>
    <row r="152" customFormat="false" ht="12.75" hidden="false" customHeight="false" outlineLevel="0" collapsed="false">
      <c r="A152" s="128"/>
      <c r="B152" s="128"/>
      <c r="C152" s="126" t="e">
        <f aca="false">NextMonth(C151)</f>
        <v>#VALUE!</v>
      </c>
      <c r="D152" s="127" t="n">
        <v>0.0629426123910952</v>
      </c>
      <c r="E152" s="127" t="n">
        <v>4.201</v>
      </c>
      <c r="F152" s="127" t="n">
        <v>0.17</v>
      </c>
      <c r="G152" s="127" t="n">
        <v>0.04</v>
      </c>
      <c r="H152" s="127" t="n">
        <v>0.005</v>
      </c>
      <c r="I152" s="127" t="n">
        <v>0</v>
      </c>
      <c r="J152" s="127" t="n">
        <v>0.0025</v>
      </c>
      <c r="K152" s="127" t="n">
        <v>0.0125</v>
      </c>
      <c r="L152" s="0" t="n">
        <v>-0.015</v>
      </c>
      <c r="M152" s="128" t="n">
        <v>0.43</v>
      </c>
      <c r="N152" s="0" t="n">
        <v>0</v>
      </c>
      <c r="O152" s="55" t="n">
        <v>0.45</v>
      </c>
      <c r="P152" s="55" t="n">
        <v>0.035</v>
      </c>
    </row>
    <row r="153" customFormat="false" ht="12.75" hidden="false" customHeight="false" outlineLevel="0" collapsed="false">
      <c r="A153" s="128"/>
      <c r="B153" s="128"/>
      <c r="C153" s="126" t="e">
        <f aca="false">NextMonth(C152)</f>
        <v>#VALUE!</v>
      </c>
      <c r="D153" s="127" t="n">
        <v>0.062983741894302</v>
      </c>
      <c r="E153" s="127" t="n">
        <v>4.336</v>
      </c>
      <c r="F153" s="127" t="n">
        <v>0.17</v>
      </c>
      <c r="G153" s="127" t="n">
        <v>0.14</v>
      </c>
      <c r="H153" s="127" t="n">
        <v>0.02</v>
      </c>
      <c r="I153" s="127" t="n">
        <v>0</v>
      </c>
      <c r="J153" s="127" t="n">
        <v>0.0025</v>
      </c>
      <c r="K153" s="127" t="n">
        <v>-0.02</v>
      </c>
      <c r="L153" s="0" t="n">
        <v>-0.02</v>
      </c>
      <c r="M153" s="128" t="n">
        <v>0.35</v>
      </c>
      <c r="N153" s="0" t="n">
        <v>0</v>
      </c>
      <c r="O153" s="55" t="n">
        <v>0.86</v>
      </c>
      <c r="P153" s="55" t="n">
        <v>0.1</v>
      </c>
    </row>
    <row r="154" customFormat="false" ht="12.75" hidden="false" customHeight="false" outlineLevel="0" collapsed="false">
      <c r="A154" s="128"/>
      <c r="B154" s="128"/>
      <c r="C154" s="126" t="e">
        <f aca="false">NextMonth(C153)</f>
        <v>#VALUE!</v>
      </c>
      <c r="D154" s="127" t="n">
        <v>0.0630235446398752</v>
      </c>
      <c r="E154" s="127" t="n">
        <v>4.471</v>
      </c>
      <c r="F154" s="127" t="n">
        <v>0.17</v>
      </c>
      <c r="G154" s="127" t="n">
        <v>0.14</v>
      </c>
      <c r="H154" s="127" t="n">
        <v>0.02</v>
      </c>
      <c r="I154" s="127" t="n">
        <v>0</v>
      </c>
      <c r="J154" s="127" t="n">
        <v>0.0025</v>
      </c>
      <c r="K154" s="127" t="n">
        <v>-0.0425</v>
      </c>
      <c r="L154" s="0" t="n">
        <v>-0.025</v>
      </c>
      <c r="M154" s="128" t="n">
        <v>0.35</v>
      </c>
      <c r="N154" s="0" t="n">
        <v>0</v>
      </c>
      <c r="O154" s="55" t="n">
        <v>1.28</v>
      </c>
      <c r="P154" s="55" t="n">
        <v>0.3</v>
      </c>
    </row>
    <row r="155" customFormat="false" ht="12.75" hidden="false" customHeight="false" outlineLevel="0" collapsed="false">
      <c r="A155" s="128"/>
      <c r="B155" s="128"/>
      <c r="C155" s="126" t="e">
        <f aca="false">NextMonth(C154)</f>
        <v>#VALUE!</v>
      </c>
      <c r="D155" s="127" t="n">
        <v>0.0630646741441865</v>
      </c>
      <c r="E155" s="127" t="n">
        <v>4.586</v>
      </c>
      <c r="F155" s="127" t="n">
        <v>0.17</v>
      </c>
      <c r="G155" s="127" t="n">
        <v>0.14</v>
      </c>
      <c r="H155" s="127" t="n">
        <v>0.02</v>
      </c>
      <c r="I155" s="127" t="n">
        <v>0</v>
      </c>
      <c r="J155" s="127" t="n">
        <v>0.0025</v>
      </c>
      <c r="K155" s="127" t="n">
        <v>-0.045</v>
      </c>
      <c r="L155" s="0" t="n">
        <v>-0.025</v>
      </c>
      <c r="M155" s="128" t="n">
        <v>0.35</v>
      </c>
      <c r="N155" s="0" t="n">
        <v>0</v>
      </c>
      <c r="O155" s="55" t="n">
        <v>1.61</v>
      </c>
      <c r="P155" s="55" t="n">
        <v>0.5</v>
      </c>
    </row>
    <row r="156" customFormat="false" ht="12.75" hidden="false" customHeight="false" outlineLevel="0" collapsed="false">
      <c r="A156" s="128"/>
      <c r="B156" s="128"/>
      <c r="C156" s="126" t="e">
        <f aca="false">NextMonth(C155)</f>
        <v>#VALUE!</v>
      </c>
      <c r="D156" s="127" t="n">
        <v>0.0631058036490586</v>
      </c>
      <c r="E156" s="127" t="n">
        <v>4.468</v>
      </c>
      <c r="F156" s="127" t="n">
        <v>0.17</v>
      </c>
      <c r="G156" s="127" t="n">
        <v>0.14</v>
      </c>
      <c r="H156" s="127" t="n">
        <v>0.02</v>
      </c>
      <c r="I156" s="127" t="n">
        <v>0</v>
      </c>
      <c r="J156" s="127" t="n">
        <v>0.0025</v>
      </c>
      <c r="K156" s="127" t="n">
        <v>-0.0275</v>
      </c>
      <c r="L156" s="0" t="n">
        <v>-0.025</v>
      </c>
      <c r="M156" s="128" t="n">
        <v>0.35</v>
      </c>
      <c r="N156" s="0" t="n">
        <v>0</v>
      </c>
      <c r="O156" s="55" t="n">
        <v>1.57</v>
      </c>
      <c r="P156" s="55" t="n">
        <v>0.5</v>
      </c>
    </row>
    <row r="157" customFormat="false" ht="12.75" hidden="false" customHeight="false" outlineLevel="0" collapsed="false">
      <c r="A157" s="128"/>
      <c r="B157" s="128"/>
      <c r="C157" s="126" t="e">
        <f aca="false">NextMonth(C156)</f>
        <v>#VALUE!</v>
      </c>
      <c r="D157" s="127" t="n">
        <v>0.0631429528797485</v>
      </c>
      <c r="E157" s="127" t="n">
        <v>4.335</v>
      </c>
      <c r="F157" s="127" t="n">
        <v>0.17</v>
      </c>
      <c r="G157" s="127" t="n">
        <v>0.14</v>
      </c>
      <c r="H157" s="127" t="n">
        <v>0.02</v>
      </c>
      <c r="I157" s="127" t="n">
        <v>0</v>
      </c>
      <c r="J157" s="127" t="n">
        <v>0.0025</v>
      </c>
      <c r="K157" s="127" t="n">
        <v>-0.015</v>
      </c>
      <c r="L157" s="0" t="n">
        <v>-0.02</v>
      </c>
      <c r="M157" s="128" t="n">
        <v>0.35</v>
      </c>
      <c r="N157" s="0" t="n">
        <v>0</v>
      </c>
      <c r="O157" s="55" t="n">
        <v>0.93</v>
      </c>
      <c r="P157" s="55" t="n">
        <v>0.1</v>
      </c>
    </row>
    <row r="158" customFormat="false" ht="12.75" hidden="false" customHeight="false" outlineLevel="0" collapsed="false">
      <c r="A158" s="128"/>
      <c r="B158" s="128"/>
      <c r="C158" s="126" t="e">
        <f aca="false">NextMonth(C157)</f>
        <v>#VALUE!</v>
      </c>
      <c r="D158" s="127" t="n">
        <v>0.0631840823856891</v>
      </c>
      <c r="E158" s="127" t="n">
        <v>4.12</v>
      </c>
      <c r="F158" s="127" t="n">
        <v>0.17</v>
      </c>
      <c r="G158" s="127" t="n">
        <v>0.04</v>
      </c>
      <c r="H158" s="127" t="n">
        <v>0.005</v>
      </c>
      <c r="I158" s="127" t="n">
        <v>0</v>
      </c>
      <c r="J158" s="127" t="n">
        <v>0.0025</v>
      </c>
      <c r="K158" s="127" t="n">
        <v>0.02</v>
      </c>
      <c r="L158" s="0" t="n">
        <v>-0.015</v>
      </c>
      <c r="M158" s="128" t="n">
        <v>0.43</v>
      </c>
      <c r="N158" s="0" t="n">
        <v>0</v>
      </c>
      <c r="O158" s="55" t="n">
        <v>0.48</v>
      </c>
      <c r="P158" s="55" t="n">
        <v>0.02</v>
      </c>
    </row>
    <row r="159" customFormat="false" ht="12.75" hidden="false" customHeight="false" outlineLevel="0" collapsed="false">
      <c r="A159" s="128"/>
      <c r="B159" s="128"/>
      <c r="C159" s="126" t="e">
        <f aca="false">NextMonth(C158)</f>
        <v>#VALUE!</v>
      </c>
      <c r="D159" s="127" t="n">
        <v>0.0632238851339073</v>
      </c>
      <c r="E159" s="127" t="n">
        <v>4.11</v>
      </c>
      <c r="F159" s="127" t="n">
        <v>0.17</v>
      </c>
      <c r="G159" s="127" t="n">
        <v>0.04</v>
      </c>
      <c r="H159" s="127" t="n">
        <v>0.005</v>
      </c>
      <c r="I159" s="127" t="n">
        <v>0</v>
      </c>
      <c r="J159" s="127" t="n">
        <v>0.0025</v>
      </c>
      <c r="K159" s="127" t="n">
        <v>0.02</v>
      </c>
      <c r="L159" s="0" t="n">
        <v>-0.015</v>
      </c>
      <c r="M159" s="128" t="n">
        <v>0.43</v>
      </c>
      <c r="N159" s="0" t="n">
        <v>0</v>
      </c>
      <c r="O159" s="55" t="n">
        <v>0.42</v>
      </c>
      <c r="P159" s="55" t="n">
        <v>0.02</v>
      </c>
    </row>
    <row r="160" customFormat="false" ht="12.75" hidden="false" customHeight="false" outlineLevel="0" collapsed="false">
      <c r="A160" s="128"/>
      <c r="B160" s="128"/>
      <c r="C160" s="126" t="e">
        <f aca="false">NextMonth(C159)</f>
        <v>#VALUE!</v>
      </c>
      <c r="D160" s="127" t="n">
        <v>0.0632650146409524</v>
      </c>
      <c r="E160" s="127" t="n">
        <v>4.146</v>
      </c>
      <c r="F160" s="127" t="n">
        <v>0.17</v>
      </c>
      <c r="G160" s="127" t="n">
        <v>0.04</v>
      </c>
      <c r="H160" s="127" t="n">
        <v>0.005</v>
      </c>
      <c r="I160" s="127" t="n">
        <v>0</v>
      </c>
      <c r="J160" s="127" t="n">
        <v>0.0025</v>
      </c>
      <c r="K160" s="127" t="n">
        <v>0.025</v>
      </c>
      <c r="L160" s="0" t="n">
        <v>-0.015</v>
      </c>
      <c r="M160" s="128" t="n">
        <v>0.43</v>
      </c>
      <c r="N160" s="0" t="n">
        <v>0</v>
      </c>
      <c r="O160" s="55" t="n">
        <v>0.42</v>
      </c>
      <c r="P160" s="55" t="n">
        <v>0.035</v>
      </c>
    </row>
    <row r="161" customFormat="false" ht="12.75" hidden="false" customHeight="false" outlineLevel="0" collapsed="false">
      <c r="A161" s="128"/>
      <c r="B161" s="128"/>
      <c r="C161" s="126" t="e">
        <f aca="false">NextMonth(C160)</f>
        <v>#VALUE!</v>
      </c>
      <c r="D161" s="127" t="n">
        <v>0.0633048173902395</v>
      </c>
      <c r="E161" s="127" t="n">
        <v>4.191</v>
      </c>
      <c r="F161" s="127" t="n">
        <v>0.17</v>
      </c>
      <c r="G161" s="127" t="n">
        <v>0.04</v>
      </c>
      <c r="H161" s="127" t="n">
        <v>0.005</v>
      </c>
      <c r="I161" s="127" t="n">
        <v>0</v>
      </c>
      <c r="J161" s="127" t="n">
        <v>0.0025</v>
      </c>
      <c r="K161" s="127" t="n">
        <v>0.0275</v>
      </c>
      <c r="L161" s="0" t="n">
        <v>-0.01</v>
      </c>
      <c r="M161" s="128" t="n">
        <v>0.43</v>
      </c>
      <c r="N161" s="0" t="n">
        <v>0</v>
      </c>
      <c r="O161" s="55" t="n">
        <v>0.48</v>
      </c>
      <c r="P161" s="55" t="n">
        <v>0.035</v>
      </c>
    </row>
    <row r="162" customFormat="false" ht="12.75" hidden="false" customHeight="false" outlineLevel="0" collapsed="false">
      <c r="A162" s="128"/>
      <c r="B162" s="128"/>
      <c r="C162" s="126" t="e">
        <f aca="false">NextMonth(C161)</f>
        <v>#VALUE!</v>
      </c>
      <c r="D162" s="127" t="n">
        <v>0.0633459468983886</v>
      </c>
      <c r="E162" s="127" t="n">
        <v>4.239</v>
      </c>
      <c r="F162" s="127" t="n">
        <v>0.17</v>
      </c>
      <c r="G162" s="127" t="n">
        <v>0.04</v>
      </c>
      <c r="H162" s="127" t="n">
        <v>0.005</v>
      </c>
      <c r="I162" s="127" t="n">
        <v>0</v>
      </c>
      <c r="J162" s="127" t="n">
        <v>0.0025</v>
      </c>
      <c r="K162" s="127" t="n">
        <v>0.03</v>
      </c>
      <c r="L162" s="0" t="n">
        <v>-0.01</v>
      </c>
      <c r="M162" s="128" t="n">
        <v>0.43</v>
      </c>
      <c r="N162" s="0" t="n">
        <v>0</v>
      </c>
      <c r="O162" s="55" t="n">
        <v>0.48</v>
      </c>
      <c r="P162" s="55" t="n">
        <v>0.035</v>
      </c>
    </row>
    <row r="163" customFormat="false" ht="12.75" hidden="false" customHeight="false" outlineLevel="0" collapsed="false">
      <c r="A163" s="128"/>
      <c r="B163" s="128"/>
      <c r="C163" s="126" t="e">
        <f aca="false">NextMonth(C162)</f>
        <v>#VALUE!</v>
      </c>
      <c r="D163" s="127" t="n">
        <v>0.063387076407099</v>
      </c>
      <c r="E163" s="127" t="n">
        <v>4.253</v>
      </c>
      <c r="F163" s="127" t="n">
        <v>0.17</v>
      </c>
      <c r="G163" s="127" t="n">
        <v>0.04</v>
      </c>
      <c r="H163" s="127" t="n">
        <v>0.005</v>
      </c>
      <c r="I163" s="127" t="n">
        <v>0</v>
      </c>
      <c r="J163" s="127" t="n">
        <v>0.0025</v>
      </c>
      <c r="K163" s="127" t="n">
        <v>0.0225</v>
      </c>
      <c r="L163" s="0" t="n">
        <v>-0.01</v>
      </c>
      <c r="M163" s="128" t="n">
        <v>0.43</v>
      </c>
      <c r="N163" s="0" t="n">
        <v>0</v>
      </c>
      <c r="O163" s="55" t="n">
        <v>0.44</v>
      </c>
      <c r="P163" s="55" t="n">
        <v>0.035</v>
      </c>
    </row>
    <row r="164" customFormat="false" ht="12.75" hidden="false" customHeight="false" outlineLevel="0" collapsed="false">
      <c r="A164" s="128"/>
      <c r="B164" s="128"/>
      <c r="C164" s="126" t="e">
        <f aca="false">NextMonth(C163)</f>
        <v>#VALUE!</v>
      </c>
      <c r="D164" s="127" t="n">
        <v>0.0634268791579977</v>
      </c>
      <c r="E164" s="127" t="n">
        <v>4.281</v>
      </c>
      <c r="F164" s="127" t="n">
        <v>0.17</v>
      </c>
      <c r="G164" s="127" t="n">
        <v>0.04</v>
      </c>
      <c r="H164" s="127" t="n">
        <v>0.005</v>
      </c>
      <c r="I164" s="127" t="n">
        <v>0</v>
      </c>
      <c r="J164" s="127" t="n">
        <v>0.0025</v>
      </c>
      <c r="K164" s="127" t="n">
        <v>0.0125</v>
      </c>
      <c r="L164" s="0" t="n">
        <v>-0.015</v>
      </c>
      <c r="M164" s="128" t="n">
        <v>0.43</v>
      </c>
      <c r="N164" s="0" t="n">
        <v>0</v>
      </c>
      <c r="O164" s="55" t="n">
        <v>0.45</v>
      </c>
      <c r="P164" s="55" t="n">
        <v>0.035</v>
      </c>
    </row>
    <row r="165" customFormat="false" ht="12.75" hidden="false" customHeight="false" outlineLevel="0" collapsed="false">
      <c r="A165" s="128"/>
      <c r="B165" s="128"/>
      <c r="C165" s="126" t="e">
        <f aca="false">NextMonth(C164)</f>
        <v>#VALUE!</v>
      </c>
      <c r="D165" s="127" t="n">
        <v>0.0634680086678121</v>
      </c>
      <c r="E165" s="127" t="n">
        <v>4.416</v>
      </c>
      <c r="F165" s="127" t="n">
        <v>0.17</v>
      </c>
      <c r="G165" s="127" t="n">
        <v>0.14</v>
      </c>
      <c r="H165" s="127" t="n">
        <v>0.02</v>
      </c>
      <c r="I165" s="127" t="n">
        <v>0</v>
      </c>
      <c r="J165" s="127" t="n">
        <v>0.0025</v>
      </c>
      <c r="K165" s="127" t="n">
        <v>-0.02</v>
      </c>
      <c r="L165" s="0" t="n">
        <v>-0.02</v>
      </c>
      <c r="M165" s="128" t="n">
        <v>0.35</v>
      </c>
      <c r="N165" s="0" t="n">
        <v>0</v>
      </c>
      <c r="O165" s="55" t="n">
        <v>0.86</v>
      </c>
      <c r="P165" s="55" t="n">
        <v>0.1</v>
      </c>
    </row>
    <row r="166" customFormat="false" ht="12.75" hidden="false" customHeight="false" outlineLevel="0" collapsed="false">
      <c r="A166" s="128"/>
      <c r="B166" s="128"/>
      <c r="C166" s="126" t="e">
        <f aca="false">NextMonth(C165)</f>
        <v>#VALUE!</v>
      </c>
      <c r="D166" s="127" t="n">
        <v>0.0635078114197794</v>
      </c>
      <c r="E166" s="127" t="n">
        <v>4.551</v>
      </c>
      <c r="F166" s="127" t="n">
        <v>0.17</v>
      </c>
      <c r="G166" s="127" t="n">
        <v>0.14</v>
      </c>
      <c r="H166" s="127" t="n">
        <v>0.02</v>
      </c>
      <c r="I166" s="127" t="n">
        <v>0</v>
      </c>
      <c r="J166" s="127" t="n">
        <v>0.0025</v>
      </c>
      <c r="K166" s="127" t="n">
        <v>-0.0425</v>
      </c>
      <c r="L166" s="0" t="n">
        <v>-0.025</v>
      </c>
      <c r="M166" s="128" t="n">
        <v>0.35</v>
      </c>
      <c r="N166" s="0" t="n">
        <v>0</v>
      </c>
      <c r="O166" s="55" t="n">
        <v>1.28</v>
      </c>
      <c r="P166" s="55" t="n">
        <v>0.3</v>
      </c>
    </row>
    <row r="167" customFormat="false" ht="12.75" hidden="false" customHeight="false" outlineLevel="0" collapsed="false">
      <c r="A167" s="128"/>
      <c r="B167" s="128"/>
      <c r="C167" s="126" t="e">
        <f aca="false">NextMonth(C166)</f>
        <v>#VALUE!</v>
      </c>
      <c r="D167" s="127" t="n">
        <v>0.0635489409306977</v>
      </c>
      <c r="E167" s="127" t="n">
        <v>4.666</v>
      </c>
      <c r="F167" s="127" t="n">
        <v>0.17</v>
      </c>
      <c r="G167" s="127" t="n">
        <v>0.14</v>
      </c>
      <c r="H167" s="127" t="n">
        <v>0.02</v>
      </c>
      <c r="I167" s="127" t="n">
        <v>0</v>
      </c>
      <c r="J167" s="127" t="n">
        <v>0.0025</v>
      </c>
      <c r="K167" s="127" t="n">
        <v>-0.045</v>
      </c>
      <c r="L167" s="0" t="n">
        <v>-0.025</v>
      </c>
      <c r="M167" s="128" t="n">
        <v>0.35</v>
      </c>
      <c r="N167" s="0" t="n">
        <v>0</v>
      </c>
      <c r="O167" s="55" t="n">
        <v>1.61</v>
      </c>
      <c r="P167" s="55" t="n">
        <v>0.5</v>
      </c>
    </row>
    <row r="168" customFormat="false" ht="12.75" hidden="false" customHeight="false" outlineLevel="0" collapsed="false">
      <c r="A168" s="128"/>
      <c r="B168" s="128"/>
      <c r="C168" s="126" t="e">
        <f aca="false">NextMonth(C167)</f>
        <v>#VALUE!</v>
      </c>
      <c r="D168" s="127" t="n">
        <v>0.063590070442177</v>
      </c>
      <c r="E168" s="127" t="n">
        <v>4.548</v>
      </c>
      <c r="F168" s="127" t="n">
        <v>0.17</v>
      </c>
      <c r="G168" s="127" t="n">
        <v>0.14</v>
      </c>
      <c r="H168" s="127" t="n">
        <v>0.02</v>
      </c>
      <c r="I168" s="127" t="n">
        <v>0</v>
      </c>
      <c r="J168" s="127" t="n">
        <v>0.0025</v>
      </c>
      <c r="K168" s="127" t="n">
        <v>-0.0275</v>
      </c>
      <c r="L168" s="0" t="n">
        <v>-0.025</v>
      </c>
      <c r="M168" s="128" t="n">
        <v>0.35</v>
      </c>
      <c r="N168" s="0" t="n">
        <v>0</v>
      </c>
      <c r="O168" s="55" t="n">
        <v>1.57</v>
      </c>
      <c r="P168" s="55" t="n">
        <v>0.5</v>
      </c>
    </row>
    <row r="169" customFormat="false" ht="12.75" hidden="false" customHeight="false" outlineLevel="0" collapsed="false">
      <c r="A169" s="128"/>
      <c r="B169" s="128"/>
      <c r="C169" s="126" t="e">
        <f aca="false">NextMonth(C168)</f>
        <v>#VALUE!</v>
      </c>
      <c r="D169" s="127" t="n">
        <v>0.063627219678835</v>
      </c>
      <c r="E169" s="127" t="n">
        <v>4.415</v>
      </c>
      <c r="F169" s="127" t="n">
        <v>0.17</v>
      </c>
      <c r="G169" s="127" t="n">
        <v>0.14</v>
      </c>
      <c r="H169" s="127" t="n">
        <v>0.02</v>
      </c>
      <c r="I169" s="127" t="n">
        <v>0</v>
      </c>
      <c r="J169" s="127" t="n">
        <v>0.0025</v>
      </c>
      <c r="K169" s="127" t="n">
        <v>-0.015</v>
      </c>
      <c r="L169" s="0" t="n">
        <v>-0.02</v>
      </c>
      <c r="M169" s="128" t="n">
        <v>0.35</v>
      </c>
      <c r="N169" s="0" t="n">
        <v>0</v>
      </c>
      <c r="O169" s="55" t="n">
        <v>0.93</v>
      </c>
      <c r="P169" s="55" t="n">
        <v>0.1</v>
      </c>
    </row>
    <row r="170" customFormat="false" ht="12.75" hidden="false" customHeight="false" outlineLevel="0" collapsed="false">
      <c r="A170" s="128"/>
      <c r="B170" s="128"/>
      <c r="C170" s="126" t="e">
        <f aca="false">NextMonth(C169)</f>
        <v>#VALUE!</v>
      </c>
      <c r="D170" s="127" t="n">
        <v>0.0636683491913819</v>
      </c>
      <c r="E170" s="127" t="n">
        <v>4.2</v>
      </c>
      <c r="F170" s="127" t="n">
        <v>0.17</v>
      </c>
      <c r="G170" s="127" t="n">
        <v>0.04</v>
      </c>
      <c r="H170" s="127" t="n">
        <v>0.005</v>
      </c>
      <c r="I170" s="127" t="n">
        <v>0</v>
      </c>
      <c r="J170" s="127" t="n">
        <v>0.0025</v>
      </c>
      <c r="K170" s="127" t="n">
        <v>0.02</v>
      </c>
      <c r="L170" s="0" t="n">
        <v>-0.015</v>
      </c>
      <c r="M170" s="128" t="n">
        <v>0.43</v>
      </c>
      <c r="N170" s="0" t="n">
        <v>0</v>
      </c>
      <c r="O170" s="55" t="n">
        <v>0.48</v>
      </c>
      <c r="P170" s="55" t="n">
        <v>0.02</v>
      </c>
    </row>
    <row r="171" customFormat="false" ht="12.75" hidden="false" customHeight="false" outlineLevel="0" collapsed="false">
      <c r="A171" s="128"/>
      <c r="B171" s="128"/>
      <c r="C171" s="126" t="e">
        <f aca="false">NextMonth(C170)</f>
        <v>#VALUE!</v>
      </c>
      <c r="D171" s="127" t="n">
        <v>0.0637081519459946</v>
      </c>
      <c r="E171" s="127" t="n">
        <v>4.19</v>
      </c>
      <c r="F171" s="127" t="n">
        <v>0.17</v>
      </c>
      <c r="G171" s="127" t="n">
        <v>0.04</v>
      </c>
      <c r="H171" s="127" t="n">
        <v>0.005</v>
      </c>
      <c r="I171" s="127" t="n">
        <v>0</v>
      </c>
      <c r="J171" s="127" t="n">
        <v>0.0025</v>
      </c>
      <c r="K171" s="127" t="n">
        <v>0.02</v>
      </c>
      <c r="L171" s="0" t="n">
        <v>-0.015</v>
      </c>
      <c r="M171" s="128" t="n">
        <v>0.43</v>
      </c>
      <c r="N171" s="0" t="n">
        <v>0</v>
      </c>
      <c r="O171" s="55" t="n">
        <v>0.42</v>
      </c>
      <c r="P171" s="55" t="n">
        <v>0.02</v>
      </c>
    </row>
    <row r="172" customFormat="false" ht="12.75" hidden="false" customHeight="false" outlineLevel="0" collapsed="false">
      <c r="A172" s="128"/>
      <c r="B172" s="128"/>
      <c r="C172" s="126" t="e">
        <f aca="false">NextMonth(C171)</f>
        <v>#VALUE!</v>
      </c>
      <c r="D172" s="127" t="n">
        <v>0.0637492814596459</v>
      </c>
      <c r="E172" s="127" t="n">
        <v>4.226</v>
      </c>
      <c r="F172" s="127" t="n">
        <v>0.17</v>
      </c>
      <c r="G172" s="127" t="n">
        <v>0.04</v>
      </c>
      <c r="H172" s="127" t="n">
        <v>0.005</v>
      </c>
      <c r="I172" s="127" t="n">
        <v>0</v>
      </c>
      <c r="J172" s="127" t="n">
        <v>0.0025</v>
      </c>
      <c r="K172" s="127" t="n">
        <v>0.025</v>
      </c>
      <c r="L172" s="0" t="n">
        <v>-0.015</v>
      </c>
      <c r="M172" s="128" t="n">
        <v>0.43</v>
      </c>
      <c r="N172" s="0" t="n">
        <v>0</v>
      </c>
      <c r="O172" s="55" t="n">
        <v>0.42</v>
      </c>
      <c r="P172" s="55" t="n">
        <v>0.035</v>
      </c>
    </row>
    <row r="173" customFormat="false" ht="12.75" hidden="false" customHeight="false" outlineLevel="0" collapsed="false">
      <c r="A173" s="128"/>
      <c r="B173" s="128"/>
      <c r="C173" s="126" t="e">
        <f aca="false">NextMonth(C172)</f>
        <v>#VALUE!</v>
      </c>
      <c r="D173" s="127" t="n">
        <v>0.0637890842153266</v>
      </c>
      <c r="E173" s="127" t="n">
        <v>4.271</v>
      </c>
      <c r="F173" s="127" t="n">
        <v>0.17</v>
      </c>
      <c r="G173" s="127" t="n">
        <v>0.04</v>
      </c>
      <c r="H173" s="127" t="n">
        <v>0.005</v>
      </c>
      <c r="I173" s="127" t="n">
        <v>0</v>
      </c>
      <c r="J173" s="127" t="n">
        <v>0.0025</v>
      </c>
      <c r="K173" s="127" t="n">
        <v>0.0275</v>
      </c>
      <c r="L173" s="0" t="n">
        <v>-0.01</v>
      </c>
      <c r="M173" s="128" t="n">
        <v>0.43</v>
      </c>
      <c r="N173" s="0" t="n">
        <v>0</v>
      </c>
      <c r="O173" s="55" t="n">
        <v>0.48</v>
      </c>
      <c r="P173" s="55" t="n">
        <v>0.035</v>
      </c>
    </row>
    <row r="174" customFormat="false" ht="12.75" hidden="false" customHeight="false" outlineLevel="0" collapsed="false">
      <c r="A174" s="128"/>
      <c r="B174" s="128"/>
      <c r="C174" s="126" t="e">
        <f aca="false">NextMonth(C173)</f>
        <v>#VALUE!</v>
      </c>
      <c r="D174" s="127" t="n">
        <v>0.0638302137300819</v>
      </c>
      <c r="E174" s="127" t="n">
        <v>4.319</v>
      </c>
      <c r="F174" s="127" t="n">
        <v>0.17</v>
      </c>
      <c r="G174" s="127" t="n">
        <v>0.04</v>
      </c>
      <c r="H174" s="127" t="n">
        <v>0.005</v>
      </c>
      <c r="I174" s="127" t="n">
        <v>0</v>
      </c>
      <c r="J174" s="127" t="n">
        <v>0.0025</v>
      </c>
      <c r="K174" s="127" t="n">
        <v>0.03</v>
      </c>
      <c r="L174" s="0" t="n">
        <v>-0.01</v>
      </c>
      <c r="M174" s="128" t="n">
        <v>0.43</v>
      </c>
      <c r="N174" s="0" t="n">
        <v>0</v>
      </c>
      <c r="O174" s="55" t="n">
        <v>0.48</v>
      </c>
      <c r="P174" s="55" t="n">
        <v>0.035</v>
      </c>
    </row>
    <row r="175" customFormat="false" ht="12.75" hidden="false" customHeight="false" outlineLevel="0" collapsed="false">
      <c r="A175" s="128"/>
      <c r="B175" s="128"/>
      <c r="C175" s="126" t="e">
        <f aca="false">NextMonth(C174)</f>
        <v>#VALUE!</v>
      </c>
      <c r="D175" s="127" t="n">
        <v>0.0638713432453986</v>
      </c>
      <c r="E175" s="127" t="n">
        <v>4.333</v>
      </c>
      <c r="F175" s="127" t="n">
        <v>0.17</v>
      </c>
      <c r="G175" s="127" t="n">
        <v>0.04</v>
      </c>
      <c r="H175" s="127" t="n">
        <v>0.005</v>
      </c>
      <c r="I175" s="127" t="n">
        <v>0</v>
      </c>
      <c r="J175" s="127" t="n">
        <v>0.0025</v>
      </c>
      <c r="K175" s="127" t="n">
        <v>0.0225</v>
      </c>
      <c r="L175" s="0" t="n">
        <v>-0.01</v>
      </c>
      <c r="M175" s="128" t="n">
        <v>0.43</v>
      </c>
      <c r="N175" s="0" t="n">
        <v>0</v>
      </c>
      <c r="O175" s="55" t="n">
        <v>0.44</v>
      </c>
      <c r="P175" s="55" t="n">
        <v>0.035</v>
      </c>
    </row>
    <row r="176" customFormat="false" ht="12.75" hidden="false" customHeight="false" outlineLevel="0" collapsed="false">
      <c r="A176" s="128"/>
      <c r="B176" s="128"/>
      <c r="C176" s="126" t="e">
        <f aca="false">NextMonth(C175)</f>
        <v>#VALUE!</v>
      </c>
      <c r="D176" s="127" t="n">
        <v>0.0639111460026904</v>
      </c>
      <c r="E176" s="127" t="n">
        <v>4.361</v>
      </c>
      <c r="F176" s="127" t="n">
        <v>0.17</v>
      </c>
      <c r="G176" s="127" t="n">
        <v>0.04</v>
      </c>
      <c r="H176" s="127" t="n">
        <v>0.005</v>
      </c>
      <c r="I176" s="127" t="n">
        <v>0</v>
      </c>
      <c r="J176" s="127" t="n">
        <v>0.0025</v>
      </c>
      <c r="K176" s="127" t="n">
        <v>0.0125</v>
      </c>
      <c r="L176" s="0" t="n">
        <v>-0.015</v>
      </c>
      <c r="M176" s="128" t="n">
        <v>0.43</v>
      </c>
      <c r="N176" s="0" t="n">
        <v>0</v>
      </c>
      <c r="O176" s="55" t="n">
        <v>0.45</v>
      </c>
      <c r="P176" s="55" t="n">
        <v>0.035</v>
      </c>
    </row>
    <row r="177" customFormat="false" ht="12.75" hidden="false" customHeight="false" outlineLevel="0" collapsed="false">
      <c r="A177" s="128"/>
      <c r="B177" s="128"/>
      <c r="C177" s="126" t="e">
        <f aca="false">NextMonth(C176)</f>
        <v>#VALUE!</v>
      </c>
      <c r="D177" s="127" t="n">
        <v>0.0639522755191111</v>
      </c>
      <c r="E177" s="127" t="n">
        <v>4.496</v>
      </c>
      <c r="F177" s="127" t="n">
        <v>0.17</v>
      </c>
      <c r="G177" s="127" t="n">
        <v>0</v>
      </c>
      <c r="H177" s="127" t="n">
        <v>0.02</v>
      </c>
      <c r="I177" s="127" t="n">
        <v>0</v>
      </c>
      <c r="J177" s="127" t="n">
        <v>0.0025</v>
      </c>
      <c r="K177" s="127" t="n">
        <v>-0.02</v>
      </c>
      <c r="L177" s="0" t="n">
        <v>-0.02</v>
      </c>
      <c r="M177" s="128" t="n">
        <v>0.35</v>
      </c>
      <c r="N177" s="0" t="n">
        <v>0</v>
      </c>
      <c r="O177" s="55" t="n">
        <v>0.86</v>
      </c>
      <c r="P177" s="55" t="n">
        <v>0.1</v>
      </c>
    </row>
    <row r="178" customFormat="false" ht="12.75" hidden="false" customHeight="false" outlineLevel="0" collapsed="false">
      <c r="A178" s="128"/>
      <c r="B178" s="128"/>
      <c r="C178" s="126" t="e">
        <f aca="false">NextMonth(C177)</f>
        <v>#VALUE!</v>
      </c>
      <c r="D178" s="127" t="n">
        <v>0.0639920782774714</v>
      </c>
      <c r="E178" s="127" t="n">
        <v>4.631</v>
      </c>
      <c r="F178" s="127" t="n">
        <v>0.17</v>
      </c>
      <c r="G178" s="127" t="n">
        <v>0</v>
      </c>
      <c r="H178" s="127" t="n">
        <v>0.02</v>
      </c>
      <c r="I178" s="127" t="n">
        <v>0</v>
      </c>
      <c r="J178" s="127" t="n">
        <v>0.0025</v>
      </c>
      <c r="K178" s="127" t="n">
        <v>-0.0425</v>
      </c>
      <c r="L178" s="0" t="n">
        <v>-0.025</v>
      </c>
      <c r="M178" s="128" t="n">
        <v>0.35</v>
      </c>
      <c r="N178" s="0" t="n">
        <v>0</v>
      </c>
      <c r="O178" s="55" t="n">
        <v>1.28</v>
      </c>
      <c r="P178" s="55" t="n">
        <v>0.3</v>
      </c>
    </row>
    <row r="179" customFormat="false" ht="12.75" hidden="false" customHeight="false" outlineLevel="0" collapsed="false">
      <c r="A179" s="128"/>
      <c r="B179" s="128"/>
      <c r="C179" s="126" t="e">
        <f aca="false">NextMonth(C178)</f>
        <v>#VALUE!</v>
      </c>
      <c r="D179" s="127" t="n">
        <v>0.0640332077949957</v>
      </c>
      <c r="E179" s="127" t="n">
        <v>4.746</v>
      </c>
      <c r="F179" s="127" t="n">
        <v>0.17</v>
      </c>
      <c r="G179" s="127" t="n">
        <v>0</v>
      </c>
      <c r="H179" s="127" t="n">
        <v>0.02</v>
      </c>
      <c r="I179" s="127" t="n">
        <v>0</v>
      </c>
      <c r="J179" s="127" t="n">
        <v>0.0025</v>
      </c>
      <c r="K179" s="127" t="n">
        <v>-0.045</v>
      </c>
      <c r="L179" s="0" t="n">
        <v>-0.025</v>
      </c>
      <c r="M179" s="128" t="n">
        <v>0.35</v>
      </c>
      <c r="N179" s="0" t="n">
        <v>0</v>
      </c>
      <c r="O179" s="55" t="n">
        <v>1.61</v>
      </c>
      <c r="P179" s="55" t="n">
        <v>0.5</v>
      </c>
    </row>
    <row r="180" customFormat="false" ht="12.75" hidden="false" customHeight="false" outlineLevel="0" collapsed="false">
      <c r="A180" s="128"/>
      <c r="B180" s="128"/>
      <c r="C180" s="126" t="e">
        <f aca="false">NextMonth(C179)</f>
        <v>#VALUE!</v>
      </c>
      <c r="D180" s="127" t="n">
        <v>0.0640743373130808</v>
      </c>
      <c r="E180" s="127" t="n">
        <v>4.628</v>
      </c>
      <c r="F180" s="127" t="n">
        <v>0.17</v>
      </c>
      <c r="G180" s="127" t="n">
        <v>0</v>
      </c>
      <c r="H180" s="127" t="n">
        <v>0.02</v>
      </c>
      <c r="I180" s="127" t="n">
        <v>0</v>
      </c>
      <c r="J180" s="127" t="n">
        <v>0.0025</v>
      </c>
      <c r="K180" s="127" t="n">
        <v>-0.0275</v>
      </c>
      <c r="L180" s="0" t="n">
        <v>-0.025</v>
      </c>
      <c r="M180" s="128" t="n">
        <v>0.35</v>
      </c>
      <c r="N180" s="0" t="n">
        <v>0</v>
      </c>
      <c r="O180" s="55" t="n">
        <v>1.57</v>
      </c>
      <c r="P180" s="55" t="n">
        <v>0.5</v>
      </c>
    </row>
    <row r="181" customFormat="false" ht="12.75" hidden="false" customHeight="false" outlineLevel="0" collapsed="false">
      <c r="A181" s="128"/>
      <c r="B181" s="128"/>
      <c r="C181" s="126" t="e">
        <f aca="false">NextMonth(C180)</f>
        <v>#VALUE!</v>
      </c>
      <c r="D181" s="127" t="n">
        <v>0.0641114865557046</v>
      </c>
      <c r="E181" s="127" t="n">
        <v>4.495</v>
      </c>
      <c r="F181" s="127" t="n">
        <v>0.17</v>
      </c>
      <c r="G181" s="127" t="n">
        <v>0</v>
      </c>
      <c r="H181" s="127" t="n">
        <v>0.02</v>
      </c>
      <c r="I181" s="127" t="n">
        <v>0</v>
      </c>
      <c r="J181" s="127" t="n">
        <v>0.0025</v>
      </c>
      <c r="K181" s="127" t="n">
        <v>-0.015</v>
      </c>
      <c r="L181" s="0" t="n">
        <v>-0.02</v>
      </c>
      <c r="M181" s="128" t="n">
        <v>0.35</v>
      </c>
      <c r="N181" s="0" t="n">
        <v>0</v>
      </c>
      <c r="O181" s="55" t="n">
        <v>0.93</v>
      </c>
      <c r="P181" s="55" t="n">
        <v>0.1</v>
      </c>
    </row>
    <row r="182" customFormat="false" ht="12.75" hidden="false" customHeight="false" outlineLevel="0" collapsed="false">
      <c r="A182" s="128"/>
      <c r="B182" s="128"/>
      <c r="C182" s="126" t="e">
        <f aca="false">NextMonth(C181)</f>
        <v>#VALUE!</v>
      </c>
      <c r="D182" s="127" t="n">
        <v>0.0641526160748573</v>
      </c>
      <c r="E182" s="127" t="n">
        <v>4.28</v>
      </c>
      <c r="F182" s="127" t="n">
        <v>0.17</v>
      </c>
      <c r="G182" s="127" t="n">
        <v>0</v>
      </c>
      <c r="H182" s="127" t="n">
        <v>0.005</v>
      </c>
      <c r="I182" s="127" t="n">
        <v>0</v>
      </c>
      <c r="J182" s="127" t="n">
        <v>0.0025</v>
      </c>
      <c r="K182" s="127" t="n">
        <v>0.02</v>
      </c>
      <c r="L182" s="0" t="n">
        <v>-0.015</v>
      </c>
      <c r="M182" s="128" t="n">
        <v>0.43</v>
      </c>
      <c r="N182" s="0" t="n">
        <v>0</v>
      </c>
      <c r="O182" s="55" t="n">
        <v>0.48</v>
      </c>
      <c r="P182" s="55" t="n">
        <v>0.02</v>
      </c>
    </row>
    <row r="183" customFormat="false" ht="12.75" hidden="false" customHeight="false" outlineLevel="0" collapsed="false">
      <c r="A183" s="128"/>
      <c r="B183" s="128"/>
      <c r="C183" s="126" t="e">
        <f aca="false">NextMonth(C182)</f>
        <v>#VALUE!</v>
      </c>
      <c r="D183" s="127" t="n">
        <v>0.0641924188358622</v>
      </c>
      <c r="E183" s="127" t="n">
        <v>4.27</v>
      </c>
      <c r="F183" s="127" t="n">
        <v>0.17</v>
      </c>
      <c r="G183" s="127" t="n">
        <v>0</v>
      </c>
      <c r="H183" s="127" t="n">
        <v>0.005</v>
      </c>
      <c r="I183" s="127" t="n">
        <v>0</v>
      </c>
      <c r="J183" s="127" t="n">
        <v>0.0025</v>
      </c>
      <c r="K183" s="127" t="n">
        <v>0.02</v>
      </c>
      <c r="L183" s="0" t="n">
        <v>-0.015</v>
      </c>
      <c r="M183" s="128" t="n">
        <v>0.43</v>
      </c>
      <c r="N183" s="0" t="n">
        <v>0</v>
      </c>
      <c r="O183" s="55" t="n">
        <v>0.42</v>
      </c>
      <c r="P183" s="55" t="n">
        <v>0.02</v>
      </c>
    </row>
    <row r="184" customFormat="false" ht="12.75" hidden="false" customHeight="false" outlineLevel="0" collapsed="false">
      <c r="A184" s="128"/>
      <c r="B184" s="128"/>
      <c r="C184" s="126" t="e">
        <f aca="false">NextMonth(C183)</f>
        <v>#VALUE!</v>
      </c>
      <c r="D184" s="127" t="n">
        <v>0.0642335483561189</v>
      </c>
      <c r="E184" s="127" t="n">
        <v>4.306</v>
      </c>
      <c r="F184" s="127" t="n">
        <v>0.17</v>
      </c>
      <c r="G184" s="127" t="n">
        <v>0</v>
      </c>
      <c r="H184" s="127" t="n">
        <v>0.005</v>
      </c>
      <c r="I184" s="127" t="n">
        <v>0</v>
      </c>
      <c r="J184" s="127" t="n">
        <v>0.0025</v>
      </c>
      <c r="K184" s="127" t="n">
        <v>0.025</v>
      </c>
      <c r="L184" s="0" t="n">
        <v>-0.015</v>
      </c>
      <c r="M184" s="128" t="n">
        <v>0.43</v>
      </c>
      <c r="N184" s="0" t="n">
        <v>0</v>
      </c>
      <c r="O184" s="55" t="n">
        <v>0.42</v>
      </c>
      <c r="P184" s="55" t="n">
        <v>0.035</v>
      </c>
    </row>
    <row r="185" customFormat="false" ht="12.75" hidden="false" customHeight="false" outlineLevel="0" collapsed="false">
      <c r="A185" s="128"/>
      <c r="B185" s="128"/>
      <c r="C185" s="126" t="e">
        <f aca="false">NextMonth(C184)</f>
        <v>#VALUE!</v>
      </c>
      <c r="D185" s="127" t="n">
        <v>0.0642733511181914</v>
      </c>
      <c r="E185" s="127" t="n">
        <v>4.351</v>
      </c>
      <c r="F185" s="127" t="n">
        <v>0.17</v>
      </c>
      <c r="G185" s="127" t="n">
        <v>0</v>
      </c>
      <c r="H185" s="127" t="n">
        <v>0.005</v>
      </c>
      <c r="I185" s="127" t="n">
        <v>0</v>
      </c>
      <c r="J185" s="127" t="n">
        <v>0.0025</v>
      </c>
      <c r="K185" s="127" t="n">
        <v>0.0275</v>
      </c>
      <c r="L185" s="0" t="n">
        <v>-0.01</v>
      </c>
      <c r="M185" s="128" t="n">
        <v>0.43</v>
      </c>
      <c r="N185" s="0" t="n">
        <v>0</v>
      </c>
      <c r="O185" s="55" t="n">
        <v>0.48</v>
      </c>
      <c r="P185" s="55" t="n">
        <v>0.035</v>
      </c>
    </row>
    <row r="186" customFormat="false" ht="12.75" hidden="false" customHeight="false" outlineLevel="0" collapsed="false">
      <c r="A186" s="128"/>
      <c r="B186" s="128"/>
      <c r="C186" s="126" t="e">
        <f aca="false">NextMonth(C185)</f>
        <v>#VALUE!</v>
      </c>
      <c r="D186" s="127" t="n">
        <v>0.0643144806395521</v>
      </c>
      <c r="E186" s="127" t="n">
        <v>4.399</v>
      </c>
      <c r="F186" s="127" t="n">
        <v>0.17</v>
      </c>
      <c r="G186" s="127" t="n">
        <v>0</v>
      </c>
      <c r="H186" s="127" t="n">
        <v>0.005</v>
      </c>
      <c r="I186" s="127" t="n">
        <v>0</v>
      </c>
      <c r="J186" s="127" t="n">
        <v>0.0025</v>
      </c>
      <c r="K186" s="127" t="n">
        <v>0.03</v>
      </c>
      <c r="L186" s="0" t="n">
        <v>-0.01</v>
      </c>
      <c r="M186" s="128" t="n">
        <v>0.43</v>
      </c>
      <c r="N186" s="0" t="n">
        <v>0</v>
      </c>
      <c r="O186" s="55" t="n">
        <v>0.48</v>
      </c>
      <c r="P186" s="55" t="n">
        <v>0.035</v>
      </c>
    </row>
    <row r="187" customFormat="false" ht="12.75" hidden="false" customHeight="false" outlineLevel="0" collapsed="false">
      <c r="A187" s="128"/>
      <c r="B187" s="128"/>
      <c r="C187" s="126" t="e">
        <f aca="false">NextMonth(C186)</f>
        <v>#VALUE!</v>
      </c>
      <c r="D187" s="127" t="n">
        <v>0.0643556101614733</v>
      </c>
      <c r="E187" s="127" t="n">
        <v>4.413</v>
      </c>
      <c r="F187" s="127" t="n">
        <v>0.17</v>
      </c>
      <c r="G187" s="127" t="n">
        <v>0</v>
      </c>
      <c r="H187" s="127" t="n">
        <v>0.005</v>
      </c>
      <c r="I187" s="127" t="n">
        <v>0</v>
      </c>
      <c r="J187" s="127" t="n">
        <v>0.0025</v>
      </c>
      <c r="K187" s="127" t="n">
        <v>0.0225</v>
      </c>
      <c r="L187" s="0" t="n">
        <v>-0.01</v>
      </c>
      <c r="M187" s="128" t="n">
        <v>0.43</v>
      </c>
      <c r="N187" s="0" t="n">
        <v>0</v>
      </c>
      <c r="O187" s="55" t="n">
        <v>0.44</v>
      </c>
      <c r="P187" s="55" t="n">
        <v>0.035</v>
      </c>
    </row>
    <row r="188" customFormat="false" ht="12.75" hidden="false" customHeight="false" outlineLevel="0" collapsed="false">
      <c r="A188" s="128"/>
      <c r="B188" s="128"/>
      <c r="C188" s="126" t="e">
        <f aca="false">NextMonth(C187)</f>
        <v>#VALUE!</v>
      </c>
      <c r="D188" s="127" t="n">
        <v>0.0643954129251569</v>
      </c>
      <c r="E188" s="127" t="n">
        <v>4.441</v>
      </c>
      <c r="F188" s="127" t="n">
        <v>0.17</v>
      </c>
      <c r="G188" s="127" t="n">
        <v>0</v>
      </c>
      <c r="H188" s="127" t="n">
        <v>0.005</v>
      </c>
      <c r="I188" s="127" t="n">
        <v>0</v>
      </c>
      <c r="J188" s="127" t="n">
        <v>0.0025</v>
      </c>
      <c r="K188" s="127" t="n">
        <v>0.0125</v>
      </c>
      <c r="L188" s="0" t="n">
        <v>-0.015</v>
      </c>
      <c r="M188" s="128" t="n">
        <v>0.43</v>
      </c>
      <c r="N188" s="0" t="n">
        <v>0</v>
      </c>
      <c r="O188" s="55" t="n">
        <v>0.45</v>
      </c>
      <c r="P188" s="55" t="n">
        <v>0.035</v>
      </c>
    </row>
    <row r="189" customFormat="false" ht="12.75" hidden="false" customHeight="false" outlineLevel="0" collapsed="false">
      <c r="A189" s="128"/>
      <c r="B189" s="128"/>
      <c r="C189" s="126" t="e">
        <f aca="false">NextMonth(C188)</f>
        <v>#VALUE!</v>
      </c>
      <c r="D189" s="127" t="n">
        <v>0.0644365424481816</v>
      </c>
      <c r="E189" s="127" t="n">
        <v>4.576</v>
      </c>
      <c r="F189" s="127" t="n">
        <v>0.17</v>
      </c>
      <c r="G189" s="127" t="n">
        <v>0</v>
      </c>
      <c r="H189" s="127" t="n">
        <v>0.02</v>
      </c>
      <c r="I189" s="127" t="n">
        <v>0</v>
      </c>
      <c r="J189" s="127" t="n">
        <v>0.0025</v>
      </c>
      <c r="K189" s="127" t="n">
        <v>-0.02</v>
      </c>
      <c r="L189" s="0" t="n">
        <v>-0.02</v>
      </c>
      <c r="M189" s="128" t="n">
        <v>0.35</v>
      </c>
      <c r="N189" s="0" t="n">
        <v>0</v>
      </c>
      <c r="O189" s="55" t="n">
        <v>0.86</v>
      </c>
      <c r="P189" s="55" t="n">
        <v>0.1</v>
      </c>
    </row>
    <row r="190" customFormat="false" ht="12.75" hidden="false" customHeight="false" outlineLevel="0" collapsed="false">
      <c r="A190" s="128"/>
      <c r="B190" s="128"/>
      <c r="C190" s="126" t="e">
        <f aca="false">NextMonth(C189)</f>
        <v>#VALUE!</v>
      </c>
      <c r="D190" s="127" t="n">
        <v>0.0644763452129338</v>
      </c>
      <c r="E190" s="127" t="n">
        <v>4.711</v>
      </c>
      <c r="F190" s="127" t="n">
        <v>0.17</v>
      </c>
      <c r="G190" s="127" t="n">
        <v>0</v>
      </c>
      <c r="H190" s="127" t="n">
        <v>0.02</v>
      </c>
      <c r="I190" s="127" t="n">
        <v>0</v>
      </c>
      <c r="J190" s="127" t="n">
        <v>0.0025</v>
      </c>
      <c r="K190" s="127" t="n">
        <v>-0.0425</v>
      </c>
      <c r="L190" s="0" t="n">
        <v>-0.025</v>
      </c>
      <c r="M190" s="128" t="n">
        <v>0.35</v>
      </c>
      <c r="N190" s="0" t="n">
        <v>0</v>
      </c>
      <c r="O190" s="55" t="n">
        <v>1.28</v>
      </c>
      <c r="P190" s="55" t="n">
        <v>0.3</v>
      </c>
    </row>
    <row r="191" customFormat="false" ht="12.75" hidden="false" customHeight="false" outlineLevel="0" collapsed="false">
      <c r="A191" s="128"/>
      <c r="B191" s="128"/>
      <c r="C191" s="126" t="e">
        <f aca="false">NextMonth(C190)</f>
        <v>#VALUE!</v>
      </c>
      <c r="D191" s="127" t="n">
        <v>0.064517474737062</v>
      </c>
      <c r="E191" s="127" t="n">
        <v>4.826</v>
      </c>
      <c r="F191" s="127" t="n">
        <v>0.17</v>
      </c>
      <c r="G191" s="127" t="n">
        <v>0</v>
      </c>
      <c r="H191" s="127" t="n">
        <v>0.02</v>
      </c>
      <c r="I191" s="127" t="n">
        <v>0</v>
      </c>
      <c r="J191" s="127" t="n">
        <v>0.0025</v>
      </c>
      <c r="K191" s="127" t="n">
        <v>-0.045</v>
      </c>
      <c r="L191" s="0" t="n">
        <v>-0.025</v>
      </c>
      <c r="M191" s="128" t="n">
        <v>0.35</v>
      </c>
      <c r="N191" s="0" t="n">
        <v>0</v>
      </c>
      <c r="O191" s="55" t="n">
        <v>1.61</v>
      </c>
      <c r="P191" s="55" t="n">
        <v>0.5</v>
      </c>
    </row>
    <row r="192" customFormat="false" ht="12.75" hidden="false" customHeight="false" outlineLevel="0" collapsed="false">
      <c r="A192" s="128"/>
      <c r="B192" s="128"/>
      <c r="C192" s="126" t="e">
        <f aca="false">NextMonth(C191)</f>
        <v>#VALUE!</v>
      </c>
      <c r="D192" s="127" t="n">
        <v>0.0645586042617516</v>
      </c>
      <c r="E192" s="127" t="n">
        <v>4.708</v>
      </c>
      <c r="F192" s="127" t="n">
        <v>0.17</v>
      </c>
      <c r="G192" s="127" t="n">
        <v>0</v>
      </c>
      <c r="H192" s="127" t="n">
        <v>0.02</v>
      </c>
      <c r="I192" s="127" t="n">
        <v>0</v>
      </c>
      <c r="J192" s="127" t="n">
        <v>0.0025</v>
      </c>
      <c r="K192" s="127" t="n">
        <v>-0.0275</v>
      </c>
      <c r="L192" s="0" t="n">
        <v>-0.025</v>
      </c>
      <c r="M192" s="128" t="n">
        <v>0.35</v>
      </c>
      <c r="N192" s="0" t="n">
        <v>0</v>
      </c>
      <c r="O192" s="55" t="n">
        <v>1.57</v>
      </c>
      <c r="P192" s="55" t="n">
        <v>0.5</v>
      </c>
    </row>
    <row r="193" customFormat="false" ht="12.75" hidden="false" customHeight="false" outlineLevel="0" collapsed="false">
      <c r="A193" s="128"/>
      <c r="B193" s="128"/>
      <c r="C193" s="126" t="e">
        <f aca="false">NextMonth(C192)</f>
        <v>#VALUE!</v>
      </c>
      <c r="D193" s="127" t="n">
        <v>0.0645970802692268</v>
      </c>
      <c r="E193" s="127" t="n">
        <v>4.575</v>
      </c>
      <c r="F193" s="127" t="n">
        <v>0.17</v>
      </c>
      <c r="G193" s="127" t="n">
        <v>0</v>
      </c>
      <c r="H193" s="127" t="n">
        <v>0.02</v>
      </c>
      <c r="I193" s="127" t="n">
        <v>0</v>
      </c>
      <c r="J193" s="127" t="n">
        <v>0</v>
      </c>
      <c r="K193" s="127" t="n">
        <v>-0.015</v>
      </c>
      <c r="L193" s="0" t="n">
        <v>-0.02</v>
      </c>
      <c r="M193" s="128" t="n">
        <v>0.35</v>
      </c>
      <c r="N193" s="0" t="n">
        <v>0</v>
      </c>
      <c r="O193" s="55" t="n">
        <v>0.93</v>
      </c>
      <c r="P193" s="55" t="n">
        <v>0.1</v>
      </c>
    </row>
    <row r="194" customFormat="false" ht="12.75" hidden="false" customHeight="false" outlineLevel="0" collapsed="false">
      <c r="A194" s="128"/>
      <c r="B194" s="128"/>
      <c r="C194" s="126" t="e">
        <f aca="false">NextMonth(C193)</f>
        <v>#VALUE!</v>
      </c>
      <c r="D194" s="127" t="n">
        <v>0.0646382097950018</v>
      </c>
      <c r="E194" s="127" t="n">
        <v>4.36</v>
      </c>
      <c r="F194" s="127" t="n">
        <v>0.17</v>
      </c>
      <c r="G194" s="127" t="n">
        <v>0</v>
      </c>
      <c r="H194" s="127" t="n">
        <v>0.005</v>
      </c>
      <c r="I194" s="127" t="n">
        <v>0</v>
      </c>
      <c r="J194" s="127" t="n">
        <v>0</v>
      </c>
      <c r="K194" s="127" t="n">
        <v>0.02</v>
      </c>
      <c r="L194" s="0" t="n">
        <v>-0.015</v>
      </c>
      <c r="M194" s="128" t="n">
        <v>0.43</v>
      </c>
      <c r="N194" s="0" t="n">
        <v>0</v>
      </c>
      <c r="O194" s="55" t="n">
        <v>0.48</v>
      </c>
      <c r="P194" s="55" t="n">
        <v>0.02</v>
      </c>
    </row>
    <row r="195" customFormat="false" ht="12.75" hidden="false" customHeight="false" outlineLevel="0" collapsed="false">
      <c r="A195" s="128"/>
      <c r="B195" s="128"/>
      <c r="C195" s="126" t="e">
        <f aca="false">NextMonth(C194)</f>
        <v>#VALUE!</v>
      </c>
      <c r="D195" s="127" t="n">
        <v>0.0646780125624145</v>
      </c>
      <c r="E195" s="127" t="n">
        <v>4.35</v>
      </c>
      <c r="F195" s="127" t="n">
        <v>0.17</v>
      </c>
      <c r="G195" s="127" t="n">
        <v>0</v>
      </c>
      <c r="H195" s="127" t="n">
        <v>0.005</v>
      </c>
      <c r="I195" s="127" t="n">
        <v>0</v>
      </c>
      <c r="J195" s="127" t="n">
        <v>0</v>
      </c>
      <c r="K195" s="127" t="n">
        <v>0.02</v>
      </c>
      <c r="L195" s="0" t="n">
        <v>-0.015</v>
      </c>
      <c r="M195" s="128" t="n">
        <v>0.43</v>
      </c>
      <c r="N195" s="0" t="n">
        <v>0</v>
      </c>
      <c r="O195" s="55" t="n">
        <v>0.42</v>
      </c>
      <c r="P195" s="55" t="n">
        <v>0.02</v>
      </c>
    </row>
    <row r="196" customFormat="false" ht="12.75" hidden="false" customHeight="false" outlineLevel="0" collapsed="false">
      <c r="A196" s="128"/>
      <c r="B196" s="128"/>
      <c r="C196" s="126" t="e">
        <f aca="false">NextMonth(C195)</f>
        <v>#VALUE!</v>
      </c>
      <c r="D196" s="127" t="n">
        <v>0.064719142089293</v>
      </c>
      <c r="E196" s="127" t="n">
        <v>4.386</v>
      </c>
      <c r="F196" s="127" t="n">
        <v>0.17</v>
      </c>
      <c r="G196" s="127" t="n">
        <v>0</v>
      </c>
      <c r="H196" s="127" t="n">
        <v>0.005</v>
      </c>
      <c r="I196" s="127" t="n">
        <v>0</v>
      </c>
      <c r="J196" s="127" t="n">
        <v>0</v>
      </c>
      <c r="K196" s="127" t="n">
        <v>0.025</v>
      </c>
      <c r="L196" s="0" t="n">
        <v>-0.015</v>
      </c>
      <c r="M196" s="128" t="n">
        <v>0.43</v>
      </c>
      <c r="N196" s="0" t="n">
        <v>0</v>
      </c>
      <c r="O196" s="55" t="n">
        <v>0.42</v>
      </c>
      <c r="P196" s="55" t="n">
        <v>0.035</v>
      </c>
    </row>
    <row r="197" customFormat="false" ht="12.75" hidden="false" customHeight="false" outlineLevel="0" collapsed="false">
      <c r="A197" s="128"/>
      <c r="B197" s="128"/>
      <c r="C197" s="126" t="e">
        <f aca="false">NextMonth(C196)</f>
        <v>#VALUE!</v>
      </c>
      <c r="D197" s="127" t="n">
        <v>0.0647589448577737</v>
      </c>
      <c r="E197" s="127" t="n">
        <v>4.431</v>
      </c>
      <c r="F197" s="127" t="n">
        <v>0.17</v>
      </c>
      <c r="G197" s="127" t="n">
        <v>0</v>
      </c>
      <c r="H197" s="127" t="n">
        <v>0</v>
      </c>
      <c r="I197" s="127" t="n">
        <v>0</v>
      </c>
      <c r="J197" s="127" t="n">
        <v>0</v>
      </c>
      <c r="K197" s="127" t="n">
        <v>0.0275</v>
      </c>
      <c r="L197" s="0" t="n">
        <v>-0.01</v>
      </c>
      <c r="M197" s="128" t="n">
        <v>0.43</v>
      </c>
      <c r="N197" s="0" t="n">
        <v>0</v>
      </c>
      <c r="O197" s="55" t="n">
        <v>0.48</v>
      </c>
      <c r="P197" s="55" t="n">
        <v>0.035</v>
      </c>
    </row>
    <row r="198" customFormat="false" ht="12.75" hidden="false" customHeight="false" outlineLevel="0" collapsed="false">
      <c r="A198" s="128"/>
      <c r="B198" s="128"/>
      <c r="C198" s="126" t="e">
        <f aca="false">NextMonth(C197)</f>
        <v>#VALUE!</v>
      </c>
      <c r="D198" s="127" t="n">
        <v>0.0648000743857553</v>
      </c>
      <c r="E198" s="127" t="n">
        <v>4.479</v>
      </c>
      <c r="F198" s="127" t="n">
        <v>0.17</v>
      </c>
      <c r="G198" s="127" t="n">
        <v>0</v>
      </c>
      <c r="H198" s="127" t="n">
        <v>0</v>
      </c>
      <c r="I198" s="127" t="n">
        <v>0</v>
      </c>
      <c r="J198" s="127" t="n">
        <v>0</v>
      </c>
      <c r="K198" s="127" t="n">
        <v>0.03</v>
      </c>
      <c r="L198" s="0" t="n">
        <v>-0.01</v>
      </c>
      <c r="M198" s="128" t="n">
        <v>0.43</v>
      </c>
      <c r="N198" s="0" t="n">
        <v>0</v>
      </c>
      <c r="O198" s="55" t="n">
        <v>0.48</v>
      </c>
      <c r="P198" s="55" t="n">
        <v>0.035</v>
      </c>
    </row>
    <row r="199" customFormat="false" ht="12.75" hidden="false" customHeight="false" outlineLevel="0" collapsed="false">
      <c r="A199" s="128"/>
      <c r="B199" s="128"/>
      <c r="C199" s="126" t="e">
        <f aca="false">NextMonth(C198)</f>
        <v>#VALUE!</v>
      </c>
      <c r="D199" s="127" t="n">
        <v>0.0648412039142983</v>
      </c>
      <c r="E199" s="127" t="n">
        <v>4.493</v>
      </c>
      <c r="F199" s="127" t="n">
        <v>0.17</v>
      </c>
      <c r="G199" s="127" t="n">
        <v>0</v>
      </c>
      <c r="H199" s="127" t="n">
        <v>0</v>
      </c>
      <c r="I199" s="127" t="n">
        <v>0</v>
      </c>
      <c r="J199" s="127" t="n">
        <v>0</v>
      </c>
      <c r="K199" s="127" t="n">
        <v>0.0225</v>
      </c>
      <c r="L199" s="0" t="n">
        <v>-0.01</v>
      </c>
      <c r="M199" s="128" t="n">
        <v>0.43</v>
      </c>
      <c r="N199" s="0" t="n">
        <v>0</v>
      </c>
      <c r="O199" s="55" t="n">
        <v>0.44</v>
      </c>
      <c r="P199" s="55" t="n">
        <v>0.035</v>
      </c>
    </row>
    <row r="200" customFormat="false" ht="12.75" hidden="false" customHeight="false" outlineLevel="0" collapsed="false">
      <c r="A200" s="128"/>
      <c r="B200" s="128"/>
      <c r="C200" s="126" t="e">
        <f aca="false">NextMonth(C199)</f>
        <v>#VALUE!</v>
      </c>
      <c r="D200" s="127" t="n">
        <v>0.0648810066843892</v>
      </c>
      <c r="E200" s="127" t="n">
        <v>4.521</v>
      </c>
      <c r="F200" s="127" t="n">
        <v>0.17</v>
      </c>
      <c r="G200" s="127" t="n">
        <v>0</v>
      </c>
      <c r="H200" s="127" t="n">
        <v>0</v>
      </c>
      <c r="I200" s="127" t="n">
        <v>0</v>
      </c>
      <c r="J200" s="127" t="n">
        <v>0</v>
      </c>
      <c r="K200" s="127" t="n">
        <v>0.0125</v>
      </c>
      <c r="L200" s="0" t="n">
        <v>-0.015</v>
      </c>
      <c r="M200" s="128" t="n">
        <v>0.43</v>
      </c>
      <c r="N200" s="0" t="n">
        <v>0</v>
      </c>
      <c r="O200" s="55" t="n">
        <v>0.45</v>
      </c>
      <c r="P200" s="55" t="n">
        <v>0.035</v>
      </c>
    </row>
    <row r="201" customFormat="false" ht="12.75" hidden="false" customHeight="false" outlineLevel="0" collapsed="false">
      <c r="A201" s="128"/>
      <c r="B201" s="128"/>
      <c r="C201" s="126" t="e">
        <f aca="false">NextMonth(C200)</f>
        <v>#VALUE!</v>
      </c>
      <c r="D201" s="127" t="n">
        <v>0.0649221362140353</v>
      </c>
      <c r="E201" s="127" t="n">
        <v>4.656</v>
      </c>
      <c r="F201" s="127" t="n">
        <v>0.17</v>
      </c>
      <c r="G201" s="127" t="n">
        <v>0</v>
      </c>
      <c r="H201" s="127" t="n">
        <v>0</v>
      </c>
      <c r="I201" s="127" t="n">
        <v>0</v>
      </c>
      <c r="J201" s="127" t="n">
        <v>0</v>
      </c>
      <c r="K201" s="127" t="n">
        <v>-0.02</v>
      </c>
      <c r="L201" s="0" t="n">
        <v>-0.02</v>
      </c>
      <c r="M201" s="128" t="n">
        <v>0.35</v>
      </c>
      <c r="N201" s="0" t="n">
        <v>0</v>
      </c>
      <c r="O201" s="55" t="n">
        <v>0.86</v>
      </c>
      <c r="P201" s="55" t="n">
        <v>0.1</v>
      </c>
    </row>
    <row r="202" customFormat="false" ht="12.75" hidden="false" customHeight="false" outlineLevel="0" collapsed="false">
      <c r="A202" s="128"/>
      <c r="B202" s="128"/>
      <c r="C202" s="126" t="e">
        <f aca="false">NextMonth(C201)</f>
        <v>#VALUE!</v>
      </c>
      <c r="D202" s="127" t="n">
        <v>0.0649619389851943</v>
      </c>
      <c r="E202" s="127" t="n">
        <v>4.791</v>
      </c>
      <c r="F202" s="127" t="n">
        <v>0.17</v>
      </c>
      <c r="G202" s="127" t="n">
        <v>0</v>
      </c>
      <c r="H202" s="127" t="n">
        <v>0</v>
      </c>
      <c r="I202" s="127" t="n">
        <v>0</v>
      </c>
      <c r="J202" s="127" t="n">
        <v>0</v>
      </c>
      <c r="K202" s="127" t="n">
        <v>-0.0425</v>
      </c>
      <c r="L202" s="0" t="n">
        <v>-0.025</v>
      </c>
      <c r="M202" s="128" t="n">
        <v>0.35</v>
      </c>
      <c r="N202" s="0" t="n">
        <v>0</v>
      </c>
      <c r="O202" s="55" t="n">
        <v>1.28</v>
      </c>
      <c r="P202" s="55" t="n">
        <v>0.3</v>
      </c>
    </row>
    <row r="203" customFormat="false" ht="12.75" hidden="false" customHeight="false" outlineLevel="0" collapsed="false">
      <c r="A203" s="128"/>
      <c r="B203" s="128"/>
      <c r="C203" s="126" t="e">
        <f aca="false">NextMonth(C202)</f>
        <v>#VALUE!</v>
      </c>
      <c r="D203" s="127" t="n">
        <v>0.065003068515944</v>
      </c>
      <c r="E203" s="127" t="n">
        <v>4.906</v>
      </c>
      <c r="F203" s="127" t="n">
        <v>0.17</v>
      </c>
      <c r="G203" s="127" t="n">
        <v>0</v>
      </c>
      <c r="H203" s="127" t="n">
        <v>0</v>
      </c>
      <c r="I203" s="127" t="n">
        <v>0</v>
      </c>
      <c r="J203" s="127" t="n">
        <v>0</v>
      </c>
      <c r="K203" s="127" t="n">
        <v>-0.045</v>
      </c>
      <c r="L203" s="0" t="n">
        <v>-0.025</v>
      </c>
      <c r="M203" s="128" t="n">
        <v>0.35</v>
      </c>
      <c r="N203" s="0" t="n">
        <v>0</v>
      </c>
      <c r="O203" s="55" t="n">
        <v>1.61</v>
      </c>
      <c r="P203" s="55" t="n">
        <v>0.5</v>
      </c>
    </row>
    <row r="204" customFormat="false" ht="12.75" hidden="false" customHeight="false" outlineLevel="0" collapsed="false">
      <c r="A204" s="128"/>
      <c r="B204" s="128"/>
      <c r="C204" s="126" t="e">
        <f aca="false">NextMonth(C203)</f>
        <v>#VALUE!</v>
      </c>
      <c r="D204" s="127" t="n">
        <v>0.065044198047254</v>
      </c>
      <c r="E204" s="127" t="n">
        <v>4.788</v>
      </c>
      <c r="F204" s="127" t="n">
        <v>0.17</v>
      </c>
      <c r="G204" s="127" t="n">
        <v>0</v>
      </c>
      <c r="H204" s="127" t="n">
        <v>0</v>
      </c>
      <c r="I204" s="127" t="n">
        <v>0</v>
      </c>
      <c r="J204" s="127" t="n">
        <v>0</v>
      </c>
      <c r="K204" s="127" t="n">
        <v>-0.0275</v>
      </c>
      <c r="L204" s="0" t="n">
        <v>-0.025</v>
      </c>
      <c r="M204" s="128" t="n">
        <v>0.35</v>
      </c>
      <c r="N204" s="0" t="n">
        <v>0</v>
      </c>
      <c r="O204" s="55" t="n">
        <v>1.57</v>
      </c>
      <c r="P204" s="55" t="n">
        <v>0.5</v>
      </c>
    </row>
    <row r="205" customFormat="false" ht="12.75" hidden="false" customHeight="false" outlineLevel="0" collapsed="false">
      <c r="A205" s="128"/>
      <c r="B205" s="128"/>
      <c r="C205" s="126" t="e">
        <f aca="false">NextMonth(C204)</f>
        <v>#VALUE!</v>
      </c>
      <c r="D205" s="127" t="n">
        <v>0.0650813473018226</v>
      </c>
      <c r="E205" s="127" t="n">
        <v>4.655</v>
      </c>
      <c r="F205" s="127" t="n">
        <v>0.17</v>
      </c>
      <c r="G205" s="127" t="n">
        <v>0</v>
      </c>
      <c r="H205" s="127" t="n">
        <v>0</v>
      </c>
      <c r="I205" s="127" t="n">
        <v>0</v>
      </c>
      <c r="J205" s="127" t="n">
        <v>0</v>
      </c>
      <c r="K205" s="127" t="n">
        <v>-0.015</v>
      </c>
      <c r="L205" s="0" t="n">
        <v>-0.02</v>
      </c>
      <c r="M205" s="128" t="n">
        <v>0.35</v>
      </c>
      <c r="N205" s="0" t="n">
        <v>0</v>
      </c>
      <c r="O205" s="55" t="n">
        <v>0.93</v>
      </c>
      <c r="P205" s="55" t="n">
        <v>0.1</v>
      </c>
    </row>
    <row r="206" customFormat="false" ht="12.75" hidden="false" customHeight="false" outlineLevel="0" collapsed="false">
      <c r="A206" s="128"/>
      <c r="B206" s="128"/>
      <c r="C206" s="126" t="e">
        <f aca="false">NextMonth(C205)</f>
        <v>#VALUE!</v>
      </c>
      <c r="D206" s="127" t="n">
        <v>0.0651224768341998</v>
      </c>
      <c r="E206" s="127" t="n">
        <v>4.44</v>
      </c>
      <c r="F206" s="127" t="n">
        <v>0.17</v>
      </c>
      <c r="G206" s="127" t="n">
        <v>0</v>
      </c>
      <c r="H206" s="127" t="n">
        <v>0</v>
      </c>
      <c r="I206" s="127" t="n">
        <v>0</v>
      </c>
      <c r="J206" s="127" t="n">
        <v>0</v>
      </c>
      <c r="K206" s="127" t="n">
        <v>0.02</v>
      </c>
      <c r="L206" s="0" t="n">
        <v>-0.015</v>
      </c>
      <c r="M206" s="128" t="n">
        <v>0.43</v>
      </c>
      <c r="N206" s="0" t="n">
        <v>0</v>
      </c>
      <c r="O206" s="55" t="n">
        <v>0.48</v>
      </c>
      <c r="P206" s="55" t="n">
        <v>0.02</v>
      </c>
    </row>
    <row r="207" customFormat="false" ht="12.75" hidden="false" customHeight="false" outlineLevel="0" collapsed="false">
      <c r="A207" s="128"/>
      <c r="B207" s="128"/>
      <c r="C207" s="126" t="e">
        <f aca="false">NextMonth(C206)</f>
        <v>#VALUE!</v>
      </c>
      <c r="D207" s="127" t="n">
        <v>0.0651622796080016</v>
      </c>
      <c r="E207" s="127" t="n">
        <v>4.43</v>
      </c>
      <c r="F207" s="127" t="n">
        <v>0.17</v>
      </c>
      <c r="G207" s="127" t="n">
        <v>0</v>
      </c>
      <c r="H207" s="127" t="n">
        <v>0</v>
      </c>
      <c r="I207" s="127" t="n">
        <v>0</v>
      </c>
      <c r="J207" s="127" t="n">
        <v>0</v>
      </c>
      <c r="K207" s="127" t="n">
        <v>0.02</v>
      </c>
      <c r="L207" s="0" t="n">
        <v>-0.015</v>
      </c>
      <c r="M207" s="128" t="n">
        <v>0.43</v>
      </c>
      <c r="N207" s="0" t="n">
        <v>0</v>
      </c>
      <c r="O207" s="55" t="n">
        <v>0.42</v>
      </c>
      <c r="P207" s="55" t="n">
        <v>0.02</v>
      </c>
    </row>
    <row r="208" customFormat="false" ht="12.75" hidden="false" customHeight="false" outlineLevel="0" collapsed="false">
      <c r="A208" s="128"/>
      <c r="B208" s="128"/>
      <c r="C208" s="126" t="e">
        <f aca="false">NextMonth(C207)</f>
        <v>#VALUE!</v>
      </c>
      <c r="D208" s="127" t="n">
        <v>0.0652034091414824</v>
      </c>
      <c r="E208" s="127" t="n">
        <v>4.466</v>
      </c>
      <c r="F208" s="127" t="n">
        <v>0.17</v>
      </c>
      <c r="G208" s="127" t="n">
        <v>0</v>
      </c>
      <c r="H208" s="127" t="n">
        <v>0</v>
      </c>
      <c r="I208" s="127" t="n">
        <v>0</v>
      </c>
      <c r="J208" s="127" t="n">
        <v>0</v>
      </c>
      <c r="K208" s="127" t="n">
        <v>0.025</v>
      </c>
      <c r="L208" s="0" t="n">
        <v>-0.015</v>
      </c>
      <c r="M208" s="128" t="n">
        <v>0.43</v>
      </c>
      <c r="N208" s="0" t="n">
        <v>0</v>
      </c>
      <c r="O208" s="55" t="n">
        <v>0.42</v>
      </c>
      <c r="P208" s="55" t="n">
        <v>0.035</v>
      </c>
    </row>
    <row r="209" customFormat="false" ht="12.75" hidden="false" customHeight="false" outlineLevel="0" collapsed="false">
      <c r="A209" s="128"/>
      <c r="B209" s="128"/>
      <c r="C209" s="126" t="e">
        <f aca="false">NextMonth(C208)</f>
        <v>#VALUE!</v>
      </c>
      <c r="D209" s="127" t="n">
        <v>0.0652432119163517</v>
      </c>
      <c r="E209" s="127" t="n">
        <v>4.511</v>
      </c>
      <c r="F209" s="127" t="n">
        <v>0.17</v>
      </c>
      <c r="G209" s="127" t="n">
        <v>0</v>
      </c>
      <c r="H209" s="127" t="n">
        <v>0</v>
      </c>
      <c r="I209" s="127" t="n">
        <v>0</v>
      </c>
      <c r="J209" s="127" t="n">
        <v>0</v>
      </c>
      <c r="K209" s="127" t="n">
        <v>0.0275</v>
      </c>
      <c r="L209" s="0" t="n">
        <v>-0.01</v>
      </c>
      <c r="M209" s="128" t="n">
        <v>0.43</v>
      </c>
      <c r="N209" s="0" t="n">
        <v>0</v>
      </c>
      <c r="O209" s="55" t="n">
        <v>0.48</v>
      </c>
      <c r="P209" s="55" t="n">
        <v>0.035</v>
      </c>
    </row>
    <row r="210" customFormat="false" ht="12.75" hidden="false" customHeight="false" outlineLevel="0" collapsed="false">
      <c r="A210" s="128"/>
      <c r="B210" s="128"/>
      <c r="C210" s="126" t="e">
        <f aca="false">NextMonth(C209)</f>
        <v>#VALUE!</v>
      </c>
      <c r="D210" s="127" t="n">
        <v>0.0652843414509352</v>
      </c>
      <c r="E210" s="127" t="n">
        <v>4.559</v>
      </c>
      <c r="F210" s="127" t="n">
        <v>0.17</v>
      </c>
      <c r="G210" s="127" t="n">
        <v>0</v>
      </c>
      <c r="H210" s="127" t="n">
        <v>0</v>
      </c>
      <c r="I210" s="127" t="n">
        <v>0</v>
      </c>
      <c r="J210" s="127" t="n">
        <v>0</v>
      </c>
      <c r="K210" s="127" t="n">
        <v>0.03</v>
      </c>
      <c r="L210" s="0" t="n">
        <v>-0.01</v>
      </c>
      <c r="M210" s="128" t="n">
        <v>0.43</v>
      </c>
      <c r="N210" s="0" t="n">
        <v>0</v>
      </c>
      <c r="O210" s="55" t="n">
        <v>0.48</v>
      </c>
      <c r="P210" s="55" t="n">
        <v>0.035</v>
      </c>
    </row>
    <row r="211" customFormat="false" ht="12.75" hidden="false" customHeight="false" outlineLevel="0" collapsed="false">
      <c r="A211" s="128"/>
      <c r="B211" s="128"/>
      <c r="C211" s="126" t="e">
        <f aca="false">NextMonth(C210)</f>
        <v>#VALUE!</v>
      </c>
      <c r="D211" s="127" t="n">
        <v>0.0653254709860796</v>
      </c>
      <c r="E211" s="127" t="n">
        <v>4.573</v>
      </c>
      <c r="F211" s="127" t="n">
        <v>0.17</v>
      </c>
      <c r="G211" s="127" t="n">
        <v>0</v>
      </c>
      <c r="H211" s="127" t="n">
        <v>0</v>
      </c>
      <c r="I211" s="127" t="n">
        <v>0</v>
      </c>
      <c r="J211" s="127" t="n">
        <v>0</v>
      </c>
      <c r="K211" s="127" t="n">
        <v>0.0225</v>
      </c>
      <c r="L211" s="0" t="n">
        <v>-0.01</v>
      </c>
      <c r="M211" s="128" t="n">
        <v>0.43</v>
      </c>
      <c r="N211" s="0" t="n">
        <v>0</v>
      </c>
      <c r="O211" s="55" t="n">
        <v>0.44</v>
      </c>
      <c r="P211" s="55" t="n">
        <v>0.035</v>
      </c>
    </row>
    <row r="212" customFormat="false" ht="12.75" hidden="false" customHeight="false" outlineLevel="0" collapsed="false">
      <c r="A212" s="128"/>
      <c r="B212" s="128"/>
      <c r="C212" s="126" t="e">
        <f aca="false">NextMonth(C211)</f>
        <v>#VALUE!</v>
      </c>
      <c r="D212" s="127" t="n">
        <v>0.0653652737625592</v>
      </c>
      <c r="E212" s="127" t="n">
        <v>4.601</v>
      </c>
      <c r="F212" s="127" t="n">
        <v>0.17</v>
      </c>
      <c r="G212" s="127" t="n">
        <v>0</v>
      </c>
      <c r="H212" s="127" t="n">
        <v>0</v>
      </c>
      <c r="I212" s="127" t="n">
        <v>0</v>
      </c>
      <c r="J212" s="127" t="n">
        <v>0</v>
      </c>
      <c r="K212" s="127" t="n">
        <v>0.0125</v>
      </c>
      <c r="L212" s="0" t="n">
        <v>-0.015</v>
      </c>
      <c r="M212" s="128" t="n">
        <v>0.43</v>
      </c>
      <c r="N212" s="0" t="n">
        <v>0</v>
      </c>
      <c r="O212" s="55" t="n">
        <v>0.45</v>
      </c>
      <c r="P212" s="55" t="n">
        <v>0.035</v>
      </c>
    </row>
    <row r="213" customFormat="false" ht="12.75" hidden="false" customHeight="false" outlineLevel="0" collapsed="false">
      <c r="A213" s="128"/>
      <c r="B213" s="128"/>
      <c r="C213" s="126" t="e">
        <f aca="false">NextMonth(C212)</f>
        <v>#VALUE!</v>
      </c>
      <c r="D213" s="127" t="n">
        <v>0.0654064032988066</v>
      </c>
      <c r="E213" s="127" t="n">
        <v>4.736</v>
      </c>
      <c r="F213" s="127" t="n">
        <v>0.17</v>
      </c>
      <c r="I213" s="127" t="n">
        <v>0</v>
      </c>
      <c r="J213" s="127" t="n">
        <v>0</v>
      </c>
      <c r="K213" s="127" t="n">
        <v>-0.02</v>
      </c>
      <c r="L213" s="0" t="n">
        <v>-0.02</v>
      </c>
      <c r="M213" s="128" t="n">
        <v>0.35</v>
      </c>
      <c r="N213" s="0" t="n">
        <v>0</v>
      </c>
      <c r="O213" s="55" t="n">
        <v>0.86</v>
      </c>
      <c r="P213" s="55" t="n">
        <v>0.1</v>
      </c>
    </row>
    <row r="214" customFormat="false" ht="12.75" hidden="false" customHeight="false" outlineLevel="0" collapsed="false">
      <c r="A214" s="128"/>
      <c r="B214" s="128"/>
      <c r="C214" s="126" t="e">
        <f aca="false">NextMonth(C213)</f>
        <v>#VALUE!</v>
      </c>
      <c r="D214" s="127" t="n">
        <v>0.0654462060763543</v>
      </c>
      <c r="E214" s="127" t="n">
        <v>4.871</v>
      </c>
      <c r="F214" s="127" t="n">
        <v>0.17</v>
      </c>
      <c r="I214" s="127" t="n">
        <v>0</v>
      </c>
      <c r="J214" s="127" t="n">
        <v>0</v>
      </c>
      <c r="K214" s="127" t="n">
        <v>-0.0425</v>
      </c>
      <c r="L214" s="0" t="n">
        <v>-0.025</v>
      </c>
      <c r="M214" s="128" t="n">
        <v>0.35</v>
      </c>
      <c r="N214" s="0" t="n">
        <v>0</v>
      </c>
      <c r="O214" s="55" t="n">
        <v>1.28</v>
      </c>
      <c r="P214" s="55" t="n">
        <v>0.3</v>
      </c>
    </row>
    <row r="215" customFormat="false" ht="12.75" hidden="false" customHeight="false" outlineLevel="0" collapsed="false">
      <c r="A215" s="128"/>
      <c r="B215" s="128"/>
      <c r="C215" s="126" t="e">
        <f aca="false">NextMonth(C214)</f>
        <v>#VALUE!</v>
      </c>
      <c r="D215" s="127" t="n">
        <v>0.0654873356137049</v>
      </c>
      <c r="E215" s="127" t="n">
        <v>4.986</v>
      </c>
      <c r="F215" s="127" t="n">
        <v>0.17</v>
      </c>
      <c r="I215" s="127" t="n">
        <v>0</v>
      </c>
      <c r="J215" s="127" t="n">
        <v>0</v>
      </c>
      <c r="K215" s="127" t="n">
        <v>-0.045</v>
      </c>
      <c r="L215" s="0" t="n">
        <v>-0.025</v>
      </c>
      <c r="M215" s="128" t="n">
        <v>0.35</v>
      </c>
      <c r="N215" s="0" t="n">
        <v>0</v>
      </c>
      <c r="O215" s="55" t="n">
        <v>1.61</v>
      </c>
      <c r="P215" s="55" t="n">
        <v>0.5</v>
      </c>
    </row>
    <row r="216" customFormat="false" ht="12.75" hidden="false" customHeight="false" outlineLevel="0" collapsed="false">
      <c r="A216" s="128"/>
      <c r="B216" s="128"/>
      <c r="C216" s="126" t="e">
        <f aca="false">NextMonth(C215)</f>
        <v>#VALUE!</v>
      </c>
      <c r="D216" s="127" t="n">
        <v>0.0655284651516159</v>
      </c>
      <c r="E216" s="127" t="n">
        <v>4.868</v>
      </c>
      <c r="F216" s="127" t="n">
        <v>0.17</v>
      </c>
      <c r="I216" s="127" t="n">
        <v>0</v>
      </c>
      <c r="J216" s="127" t="n">
        <v>0</v>
      </c>
      <c r="K216" s="127" t="n">
        <v>-0.0275</v>
      </c>
      <c r="L216" s="0" t="n">
        <v>-0.025</v>
      </c>
      <c r="M216" s="128" t="n">
        <v>0.35</v>
      </c>
      <c r="N216" s="0" t="n">
        <v>0</v>
      </c>
      <c r="O216" s="55" t="n">
        <v>1.57</v>
      </c>
      <c r="P216" s="55" t="n">
        <v>0.5</v>
      </c>
    </row>
    <row r="217" customFormat="false" ht="12.75" hidden="false" customHeight="false" outlineLevel="0" collapsed="false">
      <c r="A217" s="128"/>
      <c r="B217" s="128"/>
      <c r="C217" s="126" t="e">
        <f aca="false">NextMonth(C216)</f>
        <v>#VALUE!</v>
      </c>
      <c r="D217" s="127" t="n">
        <v>0.0655656144121464</v>
      </c>
      <c r="E217" s="127" t="n">
        <v>4.735</v>
      </c>
      <c r="F217" s="127" t="n">
        <v>0.17</v>
      </c>
      <c r="I217" s="127" t="n">
        <v>0</v>
      </c>
      <c r="J217" s="127" t="n">
        <v>0</v>
      </c>
      <c r="K217" s="127" t="n">
        <v>-0.015</v>
      </c>
      <c r="L217" s="0" t="n">
        <v>-0.02</v>
      </c>
      <c r="M217" s="128" t="n">
        <v>0.35</v>
      </c>
      <c r="N217" s="0" t="n">
        <v>0</v>
      </c>
      <c r="O217" s="55" t="n">
        <v>0.93</v>
      </c>
      <c r="P217" s="55" t="n">
        <v>0.1</v>
      </c>
    </row>
    <row r="218" customFormat="false" ht="12.75" hidden="false" customHeight="false" outlineLevel="0" collapsed="false">
      <c r="A218" s="128"/>
      <c r="B218" s="128"/>
      <c r="C218" s="126" t="e">
        <f aca="false">NextMonth(C217)</f>
        <v>#VALUE!</v>
      </c>
      <c r="D218" s="127" t="n">
        <v>0.0656067439511245</v>
      </c>
      <c r="E218" s="127" t="n">
        <v>4.52</v>
      </c>
      <c r="F218" s="127" t="n">
        <v>0.17</v>
      </c>
      <c r="I218" s="127" t="n">
        <v>0</v>
      </c>
      <c r="J218" s="127" t="n">
        <v>0</v>
      </c>
      <c r="K218" s="127" t="n">
        <v>0.02</v>
      </c>
      <c r="L218" s="0" t="n">
        <v>-0.015</v>
      </c>
      <c r="M218" s="128" t="n">
        <v>0.43</v>
      </c>
      <c r="N218" s="0" t="n">
        <v>0</v>
      </c>
      <c r="O218" s="55" t="n">
        <v>0.48</v>
      </c>
      <c r="P218" s="55" t="n">
        <v>0.02</v>
      </c>
    </row>
    <row r="219" customFormat="false" ht="12.75" hidden="false" customHeight="false" outlineLevel="0" collapsed="false">
      <c r="A219" s="128"/>
      <c r="B219" s="128"/>
      <c r="C219" s="126" t="e">
        <f aca="false">NextMonth(C218)</f>
        <v>#VALUE!</v>
      </c>
      <c r="D219" s="127" t="n">
        <v>0.0656465467313145</v>
      </c>
      <c r="E219" s="127" t="n">
        <v>4.51</v>
      </c>
      <c r="F219" s="127" t="n">
        <v>0.17</v>
      </c>
      <c r="I219" s="127" t="n">
        <v>0</v>
      </c>
      <c r="J219" s="127" t="n">
        <v>0</v>
      </c>
      <c r="K219" s="127" t="n">
        <v>0.02</v>
      </c>
      <c r="L219" s="0" t="n">
        <v>-0.015</v>
      </c>
      <c r="M219" s="128" t="n">
        <v>0.43</v>
      </c>
      <c r="N219" s="0" t="n">
        <v>0</v>
      </c>
      <c r="O219" s="55" t="n">
        <v>0.42</v>
      </c>
      <c r="P219" s="55" t="n">
        <v>0.02</v>
      </c>
    </row>
    <row r="220" customFormat="false" ht="12.75" hidden="false" customHeight="false" outlineLevel="0" collapsed="false">
      <c r="A220" s="128"/>
      <c r="B220" s="128"/>
      <c r="C220" s="126" t="e">
        <f aca="false">NextMonth(C219)</f>
        <v>#VALUE!</v>
      </c>
      <c r="D220" s="127" t="n">
        <v>0.0656876762713954</v>
      </c>
      <c r="E220" s="127" t="n">
        <v>4.546</v>
      </c>
      <c r="F220" s="127" t="n">
        <v>0.17</v>
      </c>
      <c r="I220" s="127" t="n">
        <v>0</v>
      </c>
      <c r="J220" s="127" t="n">
        <v>0</v>
      </c>
      <c r="K220" s="127" t="n">
        <v>0.025</v>
      </c>
      <c r="L220" s="0" t="n">
        <v>-0.015</v>
      </c>
      <c r="M220" s="128" t="n">
        <v>0.43</v>
      </c>
      <c r="N220" s="0" t="n">
        <v>0</v>
      </c>
      <c r="O220" s="55" t="n">
        <v>0.42</v>
      </c>
      <c r="P220" s="55" t="n">
        <v>0.035</v>
      </c>
    </row>
    <row r="221" customFormat="false" ht="12.75" hidden="false" customHeight="false" outlineLevel="0" collapsed="false">
      <c r="A221" s="128"/>
      <c r="B221" s="128"/>
      <c r="C221" s="126" t="e">
        <f aca="false">NextMonth(C220)</f>
        <v>#VALUE!</v>
      </c>
      <c r="D221" s="127" t="n">
        <v>0.0657274790526525</v>
      </c>
      <c r="E221" s="127" t="n">
        <v>4.591</v>
      </c>
      <c r="F221" s="127" t="n">
        <v>0.17</v>
      </c>
      <c r="I221" s="127" t="n">
        <v>0</v>
      </c>
      <c r="J221" s="127" t="n">
        <v>0</v>
      </c>
      <c r="K221" s="127" t="n">
        <v>0.0275</v>
      </c>
      <c r="L221" s="0" t="n">
        <v>-0.01</v>
      </c>
      <c r="M221" s="128" t="n">
        <v>0.43</v>
      </c>
      <c r="N221" s="0" t="n">
        <v>0</v>
      </c>
      <c r="O221" s="55" t="n">
        <v>0.48</v>
      </c>
      <c r="P221" s="55" t="n">
        <v>0.035</v>
      </c>
    </row>
    <row r="222" customFormat="false" ht="12.75" hidden="false" customHeight="false" outlineLevel="0" collapsed="false">
      <c r="A222" s="128"/>
      <c r="B222" s="128"/>
      <c r="C222" s="126" t="e">
        <f aca="false">NextMonth(C221)</f>
        <v>#VALUE!</v>
      </c>
      <c r="D222" s="127" t="n">
        <v>0.0657686085938365</v>
      </c>
      <c r="E222" s="127" t="n">
        <v>4.639</v>
      </c>
      <c r="F222" s="127" t="n">
        <v>0.17</v>
      </c>
      <c r="I222" s="127" t="n">
        <v>0</v>
      </c>
      <c r="J222" s="127" t="n">
        <v>0</v>
      </c>
      <c r="K222" s="127" t="n">
        <v>0.03</v>
      </c>
      <c r="L222" s="0" t="n">
        <v>-0.01</v>
      </c>
      <c r="M222" s="128" t="n">
        <v>0.43</v>
      </c>
      <c r="N222" s="0" t="n">
        <v>0</v>
      </c>
      <c r="O222" s="55" t="n">
        <v>0.48</v>
      </c>
      <c r="P222" s="55" t="n">
        <v>0.035</v>
      </c>
    </row>
    <row r="223" customFormat="false" ht="12.75" hidden="false" customHeight="false" outlineLevel="0" collapsed="false">
      <c r="A223" s="128"/>
      <c r="B223" s="128"/>
      <c r="C223" s="126" t="e">
        <f aca="false">NextMonth(C222)</f>
        <v>#VALUE!</v>
      </c>
      <c r="D223" s="127" t="n">
        <v>0.0658097381355809</v>
      </c>
      <c r="E223" s="127" t="n">
        <v>4.653</v>
      </c>
      <c r="F223" s="127" t="n">
        <v>0.17</v>
      </c>
      <c r="I223" s="127" t="n">
        <v>0</v>
      </c>
      <c r="J223" s="127" t="n">
        <v>0</v>
      </c>
      <c r="K223" s="127" t="n">
        <v>0.0225</v>
      </c>
      <c r="L223" s="0" t="n">
        <v>-0.01</v>
      </c>
      <c r="M223" s="128" t="n">
        <v>0.43</v>
      </c>
      <c r="N223" s="0" t="n">
        <v>0</v>
      </c>
      <c r="O223" s="55" t="n">
        <v>0.44</v>
      </c>
      <c r="P223" s="55" t="n">
        <v>0.035</v>
      </c>
    </row>
    <row r="224" customFormat="false" ht="12.75" hidden="false" customHeight="false" outlineLevel="0" collapsed="false">
      <c r="A224" s="128"/>
      <c r="B224" s="128"/>
      <c r="C224" s="126" t="e">
        <f aca="false">NextMonth(C223)</f>
        <v>#VALUE!</v>
      </c>
      <c r="D224" s="127" t="n">
        <v>0.0658495409184479</v>
      </c>
      <c r="E224" s="127" t="n">
        <v>4.681</v>
      </c>
      <c r="F224" s="127" t="n">
        <v>0.17</v>
      </c>
      <c r="I224" s="127" t="n">
        <v>0</v>
      </c>
      <c r="J224" s="127" t="n">
        <v>0</v>
      </c>
      <c r="K224" s="127" t="n">
        <v>0.0125</v>
      </c>
      <c r="L224" s="0" t="n">
        <v>-0.015</v>
      </c>
      <c r="M224" s="128" t="n">
        <v>0.43</v>
      </c>
      <c r="N224" s="0" t="n">
        <v>0</v>
      </c>
      <c r="O224" s="55" t="n">
        <v>0.45</v>
      </c>
      <c r="P224" s="55" t="n">
        <v>0.035</v>
      </c>
    </row>
    <row r="225" customFormat="false" ht="12.75" hidden="false" customHeight="false" outlineLevel="0" collapsed="false">
      <c r="A225" s="128"/>
      <c r="B225" s="128"/>
      <c r="C225" s="126" t="e">
        <f aca="false">NextMonth(C224)</f>
        <v>#VALUE!</v>
      </c>
      <c r="D225" s="127" t="n">
        <v>0.0658906704612954</v>
      </c>
      <c r="E225" s="127" t="n">
        <v>4.816</v>
      </c>
      <c r="F225" s="127" t="n">
        <v>0.17</v>
      </c>
      <c r="I225" s="127" t="n">
        <v>0</v>
      </c>
      <c r="J225" s="127" t="n">
        <v>0</v>
      </c>
      <c r="K225" s="127" t="n">
        <v>-0.02</v>
      </c>
      <c r="L225" s="0" t="n">
        <v>-0.02</v>
      </c>
      <c r="M225" s="128" t="n">
        <v>0.35</v>
      </c>
      <c r="N225" s="0" t="n">
        <v>0</v>
      </c>
      <c r="O225" s="55" t="n">
        <v>0.86</v>
      </c>
      <c r="P225" s="55" t="n">
        <v>0.1</v>
      </c>
    </row>
    <row r="226" customFormat="false" ht="12.75" hidden="false" customHeight="false" outlineLevel="0" collapsed="false">
      <c r="A226" s="128"/>
      <c r="B226" s="128"/>
      <c r="C226" s="126" t="e">
        <f aca="false">NextMonth(C225)</f>
        <v>#VALUE!</v>
      </c>
      <c r="D226" s="127" t="n">
        <v>0.0659304732452295</v>
      </c>
      <c r="E226" s="127" t="n">
        <v>4.951</v>
      </c>
      <c r="F226" s="127" t="n">
        <v>0.17</v>
      </c>
      <c r="I226" s="127" t="n">
        <v>0</v>
      </c>
      <c r="J226" s="127" t="n">
        <v>0</v>
      </c>
      <c r="K226" s="127" t="n">
        <v>-0.0425</v>
      </c>
      <c r="L226" s="0" t="n">
        <v>-0.025</v>
      </c>
      <c r="M226" s="128" t="n">
        <v>0.35</v>
      </c>
      <c r="N226" s="0" t="n">
        <v>0</v>
      </c>
      <c r="O226" s="55" t="n">
        <v>1.28</v>
      </c>
      <c r="P226" s="55" t="n">
        <v>0.3</v>
      </c>
    </row>
    <row r="227" customFormat="false" ht="12.75" hidden="false" customHeight="false" outlineLevel="0" collapsed="false">
      <c r="A227" s="128"/>
      <c r="B227" s="128"/>
      <c r="C227" s="126" t="e">
        <f aca="false">NextMonth(C226)</f>
        <v>#VALUE!</v>
      </c>
      <c r="D227" s="127" t="n">
        <v>0.0659716027891797</v>
      </c>
      <c r="E227" s="127" t="n">
        <v>5.066</v>
      </c>
      <c r="F227" s="127" t="n">
        <v>0.17</v>
      </c>
      <c r="I227" s="127" t="n">
        <v>0</v>
      </c>
      <c r="J227" s="127" t="n">
        <v>0</v>
      </c>
      <c r="K227" s="127" t="n">
        <v>-0.045</v>
      </c>
      <c r="L227" s="0" t="n">
        <v>-0.025</v>
      </c>
      <c r="M227" s="128" t="n">
        <v>0.35</v>
      </c>
      <c r="N227" s="0" t="n">
        <v>0</v>
      </c>
      <c r="O227" s="55" t="n">
        <v>1.61</v>
      </c>
      <c r="P227" s="55" t="n">
        <v>0.5</v>
      </c>
    </row>
    <row r="228" customFormat="false" ht="12.75" hidden="false" customHeight="false" outlineLevel="0" collapsed="false">
      <c r="A228" s="128"/>
      <c r="B228" s="128"/>
      <c r="C228" s="126" t="e">
        <f aca="false">NextMonth(C227)</f>
        <v>#VALUE!</v>
      </c>
      <c r="D228" s="127" t="n">
        <v>0.0660127323336903</v>
      </c>
      <c r="E228" s="127" t="n">
        <v>4.948</v>
      </c>
      <c r="F228" s="127" t="n">
        <v>0.17</v>
      </c>
      <c r="I228" s="127" t="n">
        <v>0</v>
      </c>
      <c r="J228" s="127" t="n">
        <v>0</v>
      </c>
      <c r="K228" s="127" t="n">
        <v>-0.0275</v>
      </c>
      <c r="L228" s="0" t="n">
        <v>-0.025</v>
      </c>
      <c r="M228" s="128" t="n">
        <v>0.35</v>
      </c>
      <c r="N228" s="0" t="n">
        <v>0</v>
      </c>
      <c r="O228" s="55" t="n">
        <v>1.57</v>
      </c>
      <c r="P228" s="55" t="n">
        <v>0.5</v>
      </c>
    </row>
    <row r="229" customFormat="false" ht="12.75" hidden="false" customHeight="false" outlineLevel="0" collapsed="false">
      <c r="A229" s="128"/>
      <c r="B229" s="128"/>
      <c r="C229" s="126" t="e">
        <f aca="false">NextMonth(C228)</f>
        <v>#VALUE!</v>
      </c>
      <c r="D229" s="127" t="n">
        <v>0.0660498816001818</v>
      </c>
      <c r="E229" s="127" t="n">
        <v>4.815</v>
      </c>
      <c r="F229" s="127" t="n">
        <v>0.17</v>
      </c>
      <c r="I229" s="127" t="n">
        <v>0</v>
      </c>
      <c r="J229" s="127" t="n">
        <v>0</v>
      </c>
      <c r="K229" s="127" t="n">
        <v>-0.015</v>
      </c>
      <c r="L229" s="0" t="n">
        <v>-0.02</v>
      </c>
      <c r="M229" s="128" t="n">
        <v>0.35</v>
      </c>
      <c r="N229" s="0" t="n">
        <v>0</v>
      </c>
      <c r="O229" s="55" t="n">
        <v>0.93</v>
      </c>
      <c r="P229" s="55" t="n">
        <v>0.1</v>
      </c>
    </row>
    <row r="230" customFormat="false" ht="12.75" hidden="false" customHeight="false" outlineLevel="0" collapsed="false">
      <c r="A230" s="128"/>
      <c r="B230" s="128"/>
      <c r="C230" s="126" t="e">
        <f aca="false">NextMonth(C229)</f>
        <v>#VALUE!</v>
      </c>
      <c r="D230" s="127" t="n">
        <v>0.0660910111457591</v>
      </c>
      <c r="E230" s="127" t="n">
        <v>4.6</v>
      </c>
      <c r="F230" s="127" t="n">
        <v>0.17</v>
      </c>
      <c r="I230" s="127" t="n">
        <v>0</v>
      </c>
      <c r="J230" s="127" t="n">
        <v>0</v>
      </c>
      <c r="K230" s="127" t="n">
        <v>0.02</v>
      </c>
      <c r="L230" s="0" t="n">
        <v>-0.015</v>
      </c>
      <c r="M230" s="128" t="n">
        <v>0.43</v>
      </c>
      <c r="N230" s="0" t="n">
        <v>0</v>
      </c>
      <c r="O230" s="55" t="n">
        <v>0.48</v>
      </c>
      <c r="P230" s="55" t="n">
        <v>0.02</v>
      </c>
    </row>
    <row r="231" customFormat="false" ht="12.75" hidden="false" customHeight="false" outlineLevel="0" collapsed="false">
      <c r="A231" s="128"/>
      <c r="B231" s="128"/>
      <c r="C231" s="126" t="e">
        <f aca="false">NextMonth(C230)</f>
        <v>#VALUE!</v>
      </c>
      <c r="D231" s="127" t="n">
        <v>0.0661308139323351</v>
      </c>
      <c r="E231" s="127" t="n">
        <v>4.59</v>
      </c>
      <c r="F231" s="127" t="n">
        <v>0.17</v>
      </c>
      <c r="I231" s="127" t="n">
        <v>0</v>
      </c>
      <c r="J231" s="127" t="n">
        <v>0</v>
      </c>
      <c r="K231" s="127" t="n">
        <v>0.02</v>
      </c>
      <c r="L231" s="0" t="n">
        <v>-0.015</v>
      </c>
      <c r="M231" s="128" t="n">
        <v>0.43</v>
      </c>
      <c r="N231" s="0" t="n">
        <v>0</v>
      </c>
      <c r="O231" s="55" t="n">
        <v>0.42</v>
      </c>
      <c r="P231" s="55" t="n">
        <v>0.02</v>
      </c>
    </row>
    <row r="232" customFormat="false" ht="12.75" hidden="false" customHeight="false" outlineLevel="0" collapsed="false">
      <c r="A232" s="128"/>
      <c r="B232" s="128"/>
      <c r="C232" s="126" t="e">
        <f aca="false">NextMonth(C231)</f>
        <v>#VALUE!</v>
      </c>
      <c r="D232" s="127" t="n">
        <v>0.0661719434790151</v>
      </c>
      <c r="E232" s="127" t="n">
        <v>4.626</v>
      </c>
      <c r="F232" s="127" t="n">
        <v>0.17</v>
      </c>
      <c r="I232" s="127" t="n">
        <v>0</v>
      </c>
      <c r="J232" s="127" t="n">
        <v>0</v>
      </c>
      <c r="K232" s="127" t="n">
        <v>0.025</v>
      </c>
      <c r="L232" s="0" t="n">
        <v>-0.015</v>
      </c>
      <c r="M232" s="128" t="n">
        <v>0.43</v>
      </c>
      <c r="N232" s="0" t="n">
        <v>0</v>
      </c>
      <c r="O232" s="55" t="n">
        <v>0.42</v>
      </c>
      <c r="P232" s="55" t="n">
        <v>0.035</v>
      </c>
    </row>
    <row r="233" customFormat="false" ht="12.75" hidden="false" customHeight="false" outlineLevel="0" collapsed="false">
      <c r="A233" s="128"/>
      <c r="B233" s="128"/>
      <c r="C233" s="126" t="e">
        <f aca="false">NextMonth(C232)</f>
        <v>#VALUE!</v>
      </c>
      <c r="D233" s="127" t="n">
        <v>0.0662117462666583</v>
      </c>
      <c r="E233" s="127" t="n">
        <v>4.671</v>
      </c>
      <c r="F233" s="127" t="n">
        <v>0.17</v>
      </c>
      <c r="I233" s="127" t="n">
        <v>0</v>
      </c>
      <c r="J233" s="127" t="n">
        <v>0</v>
      </c>
      <c r="K233" s="127" t="n">
        <v>0.0275</v>
      </c>
      <c r="L233" s="0" t="n">
        <v>-0.01</v>
      </c>
      <c r="M233" s="128" t="n">
        <v>0.43</v>
      </c>
      <c r="N233" s="0" t="n">
        <v>0</v>
      </c>
      <c r="O233" s="55" t="n">
        <v>0.48</v>
      </c>
      <c r="P233" s="55" t="n">
        <v>0.035</v>
      </c>
    </row>
    <row r="234" customFormat="false" ht="12.75" hidden="false" customHeight="false" outlineLevel="0" collapsed="false">
      <c r="A234" s="128"/>
      <c r="B234" s="128"/>
      <c r="C234" s="126" t="e">
        <f aca="false">NextMonth(C233)</f>
        <v>#VALUE!</v>
      </c>
      <c r="D234" s="127" t="n">
        <v>0.066252875814441</v>
      </c>
      <c r="E234" s="127" t="n">
        <v>4.719</v>
      </c>
      <c r="F234" s="127" t="n">
        <v>0.17</v>
      </c>
      <c r="I234" s="127" t="n">
        <v>0</v>
      </c>
      <c r="J234" s="127" t="n">
        <v>0</v>
      </c>
      <c r="K234" s="127" t="n">
        <v>0.03</v>
      </c>
      <c r="L234" s="0" t="n">
        <v>-0.01</v>
      </c>
      <c r="M234" s="128" t="n">
        <v>0.43</v>
      </c>
      <c r="N234" s="0" t="n">
        <v>0</v>
      </c>
      <c r="O234" s="55" t="n">
        <v>0.48</v>
      </c>
      <c r="P234" s="55" t="n">
        <v>0.035</v>
      </c>
    </row>
    <row r="235" customFormat="false" ht="12.75" hidden="false" customHeight="false" outlineLevel="0" collapsed="false">
      <c r="A235" s="128"/>
      <c r="B235" s="128"/>
      <c r="C235" s="126" t="e">
        <f aca="false">NextMonth(C234)</f>
        <v>#VALUE!</v>
      </c>
      <c r="D235" s="127" t="n">
        <v>0.0662940053627841</v>
      </c>
      <c r="E235" s="127" t="n">
        <v>4.733</v>
      </c>
      <c r="F235" s="127" t="n">
        <v>0.17</v>
      </c>
      <c r="I235" s="127" t="n">
        <v>0</v>
      </c>
      <c r="J235" s="127" t="n">
        <v>0</v>
      </c>
      <c r="K235" s="127" t="n">
        <v>0.0225</v>
      </c>
      <c r="L235" s="0" t="n">
        <v>-0.01</v>
      </c>
      <c r="M235" s="128" t="n">
        <v>0.43</v>
      </c>
      <c r="N235" s="0" t="n">
        <v>0</v>
      </c>
      <c r="O235" s="55" t="n">
        <v>0.44</v>
      </c>
      <c r="P235" s="55" t="n">
        <v>0.035</v>
      </c>
    </row>
    <row r="236" customFormat="false" ht="12.75" hidden="false" customHeight="false" outlineLevel="0" collapsed="false">
      <c r="A236" s="128"/>
      <c r="B236" s="128"/>
      <c r="C236" s="126" t="e">
        <f aca="false">NextMonth(C235)</f>
        <v>#VALUE!</v>
      </c>
      <c r="D236" s="127" t="n">
        <v>0.0663338081520366</v>
      </c>
      <c r="E236" s="127" t="n">
        <v>4.761</v>
      </c>
      <c r="F236" s="127" t="n">
        <v>0.17</v>
      </c>
      <c r="I236" s="127" t="n">
        <v>0</v>
      </c>
      <c r="J236" s="127" t="n">
        <v>0</v>
      </c>
      <c r="K236" s="127" t="n">
        <v>0.0125</v>
      </c>
      <c r="L236" s="0" t="n">
        <v>-0.015</v>
      </c>
      <c r="M236" s="128" t="n">
        <v>0.43</v>
      </c>
      <c r="N236" s="0" t="n">
        <v>0</v>
      </c>
      <c r="O236" s="55" t="n">
        <v>0.45</v>
      </c>
      <c r="P236" s="55" t="n">
        <v>0.035</v>
      </c>
    </row>
    <row r="237" customFormat="false" ht="12.75" hidden="false" customHeight="false" outlineLevel="0" collapsed="false">
      <c r="A237" s="128"/>
      <c r="B237" s="128"/>
      <c r="C237" s="126" t="e">
        <f aca="false">NextMonth(C236)</f>
        <v>#VALUE!</v>
      </c>
      <c r="D237" s="127" t="n">
        <v>0.0663749377014824</v>
      </c>
      <c r="E237" s="127" t="n">
        <v>4.896</v>
      </c>
      <c r="F237" s="127" t="n">
        <v>0.17</v>
      </c>
      <c r="I237" s="127" t="n">
        <v>0</v>
      </c>
      <c r="J237" s="127" t="n">
        <v>0</v>
      </c>
      <c r="K237" s="127" t="n">
        <v>-0.02</v>
      </c>
      <c r="L237" s="0" t="n">
        <v>-0.02</v>
      </c>
      <c r="M237" s="128" t="n">
        <v>0.35</v>
      </c>
      <c r="N237" s="0" t="n">
        <v>0</v>
      </c>
      <c r="O237" s="55" t="n">
        <v>0.86</v>
      </c>
      <c r="P237" s="55" t="n">
        <v>0.1</v>
      </c>
    </row>
    <row r="238" customFormat="false" ht="12.75" hidden="false" customHeight="false" outlineLevel="0" collapsed="false">
      <c r="A238" s="128"/>
      <c r="B238" s="128"/>
      <c r="C238" s="126" t="e">
        <f aca="false">NextMonth(C237)</f>
        <v>#VALUE!</v>
      </c>
      <c r="D238" s="127" t="n">
        <v>0.0664147404918021</v>
      </c>
      <c r="E238" s="127" t="n">
        <v>5.031</v>
      </c>
      <c r="F238" s="127" t="n">
        <v>0.17</v>
      </c>
      <c r="I238" s="127" t="n">
        <v>0</v>
      </c>
      <c r="J238" s="127" t="n">
        <v>0</v>
      </c>
      <c r="K238" s="127" t="n">
        <v>-0.0425</v>
      </c>
      <c r="L238" s="0" t="n">
        <v>-0.025</v>
      </c>
      <c r="M238" s="128" t="n">
        <v>0.35</v>
      </c>
      <c r="N238" s="0" t="n">
        <v>0</v>
      </c>
      <c r="O238" s="55" t="n">
        <v>1.28</v>
      </c>
      <c r="P238" s="55" t="n">
        <v>0.3</v>
      </c>
    </row>
    <row r="239" customFormat="false" ht="12.75" hidden="false" customHeight="false" outlineLevel="0" collapsed="false">
      <c r="A239" s="128"/>
      <c r="B239" s="128"/>
      <c r="C239" s="126" t="e">
        <f aca="false">NextMonth(C238)</f>
        <v>#VALUE!</v>
      </c>
      <c r="D239" s="127" t="n">
        <v>0.0664558700423501</v>
      </c>
      <c r="E239" s="127" t="n">
        <v>5.146</v>
      </c>
      <c r="F239" s="127" t="n">
        <v>0.17</v>
      </c>
      <c r="I239" s="127" t="n">
        <v>0</v>
      </c>
      <c r="J239" s="127" t="n">
        <v>0</v>
      </c>
      <c r="K239" s="127" t="n">
        <v>-0.045</v>
      </c>
      <c r="L239" s="0" t="n">
        <v>-0.025</v>
      </c>
      <c r="M239" s="128" t="n">
        <v>0.35</v>
      </c>
      <c r="N239" s="0" t="n">
        <v>0</v>
      </c>
      <c r="O239" s="55" t="n">
        <v>1.61</v>
      </c>
      <c r="P239" s="55" t="n">
        <v>0.5</v>
      </c>
    </row>
    <row r="240" customFormat="false" ht="12.75" hidden="false" customHeight="false" outlineLevel="0" collapsed="false">
      <c r="A240" s="128"/>
      <c r="B240" s="128"/>
      <c r="C240" s="126" t="e">
        <f aca="false">NextMonth(C239)</f>
        <v>#VALUE!</v>
      </c>
      <c r="D240" s="127" t="n">
        <v>0.066496999593459</v>
      </c>
      <c r="E240" s="127" t="n">
        <v>5.028</v>
      </c>
      <c r="F240" s="127" t="n">
        <v>0.17</v>
      </c>
      <c r="I240" s="127" t="n">
        <v>0</v>
      </c>
      <c r="J240" s="127" t="n">
        <v>0</v>
      </c>
      <c r="K240" s="127" t="n">
        <v>-0.0275</v>
      </c>
      <c r="L240" s="0" t="n">
        <v>-0.025</v>
      </c>
      <c r="M240" s="128" t="n">
        <v>0.35</v>
      </c>
      <c r="N240" s="0" t="n">
        <v>0</v>
      </c>
      <c r="O240" s="55" t="n">
        <v>1.57</v>
      </c>
      <c r="P240" s="55" t="n">
        <v>0.5</v>
      </c>
    </row>
    <row r="241" customFormat="false" ht="12.75" hidden="false" customHeight="false" outlineLevel="0" collapsed="false">
      <c r="A241" s="128"/>
      <c r="B241" s="128"/>
      <c r="C241" s="126" t="e">
        <f aca="false">NextMonth(C240)</f>
        <v>#VALUE!</v>
      </c>
      <c r="D241" s="127" t="n">
        <v>0.0665354756256482</v>
      </c>
      <c r="E241" s="127" t="n">
        <v>4.895</v>
      </c>
      <c r="F241" s="127" t="n">
        <v>0.17</v>
      </c>
      <c r="I241" s="127" t="n">
        <v>0</v>
      </c>
      <c r="J241" s="127" t="n">
        <v>0</v>
      </c>
      <c r="K241" s="127" t="n">
        <v>-0.015</v>
      </c>
      <c r="L241" s="0" t="n">
        <v>-0.02</v>
      </c>
      <c r="M241" s="128" t="n">
        <v>0.35</v>
      </c>
      <c r="N241" s="0" t="n">
        <v>0</v>
      </c>
      <c r="O241" s="55" t="n">
        <v>0.93</v>
      </c>
      <c r="P241" s="55" t="n">
        <v>0.1</v>
      </c>
    </row>
    <row r="242" customFormat="false" ht="12.75" hidden="false" customHeight="false" outlineLevel="0" collapsed="false">
      <c r="A242" s="128"/>
      <c r="B242" s="128"/>
      <c r="C242" s="126" t="e">
        <f aca="false">NextMonth(C241)</f>
        <v>#VALUE!</v>
      </c>
      <c r="D242" s="127" t="n">
        <v>0.0665766051778411</v>
      </c>
      <c r="E242" s="127" t="n">
        <v>4.68</v>
      </c>
      <c r="F242" s="127" t="n">
        <v>0.17</v>
      </c>
      <c r="I242" s="127" t="n">
        <v>0</v>
      </c>
      <c r="J242" s="127" t="n">
        <v>0</v>
      </c>
      <c r="K242" s="127" t="n">
        <v>0.02</v>
      </c>
      <c r="L242" s="0" t="n">
        <v>-0.015</v>
      </c>
      <c r="M242" s="128" t="n">
        <v>0.43</v>
      </c>
      <c r="N242" s="0" t="n">
        <v>0</v>
      </c>
      <c r="O242" s="55" t="n">
        <v>0.48</v>
      </c>
      <c r="P242" s="55" t="n">
        <v>0.02</v>
      </c>
    </row>
    <row r="243" customFormat="false" ht="12.75" hidden="false" customHeight="false" outlineLevel="0" collapsed="false">
      <c r="A243" s="128"/>
      <c r="B243" s="128"/>
      <c r="C243" s="126" t="e">
        <f aca="false">NextMonth(C242)</f>
        <v>#VALUE!</v>
      </c>
      <c r="D243" s="127" t="n">
        <v>0.0666164079708196</v>
      </c>
      <c r="E243" s="127" t="n">
        <v>4.67</v>
      </c>
      <c r="F243" s="127" t="n">
        <v>0.17</v>
      </c>
      <c r="I243" s="127" t="n">
        <v>0</v>
      </c>
      <c r="J243" s="127" t="n">
        <v>0</v>
      </c>
      <c r="K243" s="127" t="n">
        <v>0.02</v>
      </c>
      <c r="L243" s="0" t="n">
        <v>-0.015</v>
      </c>
      <c r="M243" s="128" t="n">
        <v>0.43</v>
      </c>
      <c r="N243" s="0" t="n">
        <v>0</v>
      </c>
      <c r="O243" s="55" t="n">
        <v>0.42</v>
      </c>
      <c r="P243" s="55" t="n">
        <v>0.02</v>
      </c>
    </row>
    <row r="244" customFormat="false" ht="12.75" hidden="false" customHeight="false" outlineLevel="0" collapsed="false">
      <c r="A244" s="128"/>
      <c r="B244" s="128"/>
      <c r="C244" s="126" t="e">
        <f aca="false">NextMonth(C243)</f>
        <v>#VALUE!</v>
      </c>
      <c r="D244" s="127" t="n">
        <v>0.0666575375241152</v>
      </c>
      <c r="E244" s="127" t="n">
        <v>4.706</v>
      </c>
      <c r="F244" s="127" t="n">
        <v>0.17</v>
      </c>
      <c r="I244" s="127" t="n">
        <v>0</v>
      </c>
      <c r="J244" s="127" t="n">
        <v>0</v>
      </c>
      <c r="K244" s="127" t="n">
        <v>0.025</v>
      </c>
      <c r="L244" s="0" t="n">
        <v>-0.015</v>
      </c>
      <c r="M244" s="128" t="n">
        <v>0.43</v>
      </c>
      <c r="N244" s="0" t="n">
        <v>0</v>
      </c>
      <c r="O244" s="55" t="n">
        <v>0.42</v>
      </c>
      <c r="P244" s="55" t="n">
        <v>0.035</v>
      </c>
    </row>
    <row r="245" customFormat="false" ht="12.75" hidden="false" customHeight="false" outlineLevel="0" collapsed="false">
      <c r="A245" s="128"/>
      <c r="B245" s="128"/>
      <c r="C245" s="126" t="e">
        <f aca="false">NextMonth(C244)</f>
        <v>#VALUE!</v>
      </c>
      <c r="D245" s="127" t="n">
        <v>0.0666973403181603</v>
      </c>
      <c r="E245" s="127" t="n">
        <v>4.751</v>
      </c>
      <c r="F245" s="127" t="n">
        <v>0.17</v>
      </c>
      <c r="I245" s="127" t="n">
        <v>0</v>
      </c>
      <c r="J245" s="127" t="n">
        <v>0</v>
      </c>
      <c r="K245" s="127" t="n">
        <v>0.0275</v>
      </c>
      <c r="L245" s="0" t="n">
        <v>-0.01</v>
      </c>
      <c r="M245" s="128" t="n">
        <v>0.43</v>
      </c>
      <c r="N245" s="0" t="n">
        <v>0</v>
      </c>
      <c r="O245" s="55" t="n">
        <v>0.48</v>
      </c>
      <c r="P245" s="55" t="n">
        <v>0.035</v>
      </c>
    </row>
    <row r="246" customFormat="false" ht="12.75" hidden="false" customHeight="false" outlineLevel="0" collapsed="false">
      <c r="A246" s="128"/>
      <c r="B246" s="128"/>
      <c r="C246" s="126" t="e">
        <f aca="false">NextMonth(C245)</f>
        <v>#VALUE!</v>
      </c>
      <c r="D246" s="127" t="n">
        <v>0.0667384698725586</v>
      </c>
      <c r="E246" s="127" t="n">
        <v>4.799</v>
      </c>
      <c r="F246" s="127" t="n">
        <v>0.17</v>
      </c>
      <c r="I246" s="127" t="n">
        <v>0</v>
      </c>
      <c r="J246" s="127" t="n">
        <v>0</v>
      </c>
      <c r="K246" s="127" t="n">
        <v>0.03</v>
      </c>
      <c r="L246" s="0" t="n">
        <v>-0.01</v>
      </c>
      <c r="M246" s="128" t="n">
        <v>0.43</v>
      </c>
      <c r="N246" s="0" t="n">
        <v>0</v>
      </c>
      <c r="O246" s="55" t="n">
        <v>0.48</v>
      </c>
      <c r="P246" s="55" t="n">
        <v>0.035</v>
      </c>
    </row>
    <row r="247" customFormat="false" ht="12.75" hidden="false" customHeight="false" outlineLevel="0" collapsed="false">
      <c r="A247" s="128"/>
      <c r="B247" s="128"/>
      <c r="C247" s="126" t="e">
        <f aca="false">NextMonth(C246)</f>
        <v>#VALUE!</v>
      </c>
      <c r="D247" s="127" t="n">
        <v>0.066779599427516</v>
      </c>
      <c r="E247" s="127" t="n">
        <v>4.813</v>
      </c>
      <c r="F247" s="127" t="n">
        <v>0.17</v>
      </c>
      <c r="I247" s="127" t="n">
        <v>0</v>
      </c>
      <c r="J247" s="127" t="n">
        <v>0</v>
      </c>
      <c r="K247" s="127" t="n">
        <v>0.0225</v>
      </c>
      <c r="L247" s="0" t="n">
        <v>-0.01</v>
      </c>
      <c r="M247" s="128" t="n">
        <v>0.43</v>
      </c>
      <c r="N247" s="0" t="n">
        <v>0</v>
      </c>
      <c r="O247" s="55" t="n">
        <v>0.44</v>
      </c>
      <c r="P247" s="55" t="n">
        <v>0.035</v>
      </c>
    </row>
    <row r="248" customFormat="false" ht="12.75" hidden="false" customHeight="false" outlineLevel="0" collapsed="false">
      <c r="A248" s="128"/>
      <c r="B248" s="128"/>
      <c r="C248" s="126" t="e">
        <f aca="false">NextMonth(C247)</f>
        <v>#VALUE!</v>
      </c>
      <c r="D248" s="127" t="n">
        <v>0.0668194022231705</v>
      </c>
      <c r="E248" s="127" t="n">
        <v>4.841</v>
      </c>
      <c r="F248" s="127" t="n">
        <v>0.17</v>
      </c>
      <c r="I248" s="127" t="n">
        <v>0</v>
      </c>
      <c r="J248" s="127" t="n">
        <v>0</v>
      </c>
      <c r="K248" s="127" t="n">
        <v>0.0125</v>
      </c>
      <c r="L248" s="0" t="n">
        <v>-0.015</v>
      </c>
      <c r="M248" s="128" t="n">
        <v>0.43</v>
      </c>
      <c r="N248" s="0" t="n">
        <v>0</v>
      </c>
      <c r="O248" s="55" t="n">
        <v>0.45</v>
      </c>
      <c r="P248" s="55" t="n">
        <v>0.035</v>
      </c>
    </row>
    <row r="249" customFormat="false" ht="12.75" hidden="false" customHeight="false" outlineLevel="0" collapsed="false">
      <c r="A249" s="128"/>
      <c r="B249" s="128"/>
      <c r="C249" s="126" t="e">
        <f aca="false">NextMonth(C248)</f>
        <v>#VALUE!</v>
      </c>
      <c r="D249" s="127" t="n">
        <v>0.066860531779231</v>
      </c>
      <c r="E249" s="127" t="n">
        <v>4.976</v>
      </c>
      <c r="F249" s="127" t="n">
        <v>0.17</v>
      </c>
      <c r="I249" s="127" t="n">
        <v>0</v>
      </c>
      <c r="J249" s="127" t="n">
        <v>0</v>
      </c>
      <c r="K249" s="127" t="n">
        <v>-0.02</v>
      </c>
      <c r="L249" s="0" t="n">
        <v>-0.02</v>
      </c>
      <c r="M249" s="128" t="n">
        <v>0.35</v>
      </c>
      <c r="N249" s="0" t="n">
        <v>0</v>
      </c>
      <c r="O249" s="55" t="n">
        <v>0.86</v>
      </c>
      <c r="P249" s="55" t="n">
        <v>0.1</v>
      </c>
    </row>
    <row r="250" customFormat="false" ht="12.75" hidden="false" customHeight="false" outlineLevel="0" collapsed="false">
      <c r="A250" s="128"/>
      <c r="B250" s="128"/>
      <c r="C250" s="126" t="e">
        <f aca="false">NextMonth(C249)</f>
        <v>#VALUE!</v>
      </c>
      <c r="D250" s="127" t="n">
        <v>0.0669003345759518</v>
      </c>
      <c r="E250" s="127" t="n">
        <v>5.111</v>
      </c>
      <c r="F250" s="127" t="n">
        <v>0.17</v>
      </c>
      <c r="I250" s="127" t="n">
        <v>0</v>
      </c>
      <c r="J250" s="127" t="n">
        <v>0</v>
      </c>
      <c r="K250" s="127" t="n">
        <v>-0.0425</v>
      </c>
      <c r="L250" s="0" t="n">
        <v>-0.025</v>
      </c>
      <c r="M250" s="128" t="n">
        <v>0.35</v>
      </c>
      <c r="N250" s="0" t="n">
        <v>0</v>
      </c>
      <c r="O250" s="55" t="n">
        <v>1.28</v>
      </c>
      <c r="P250" s="55" t="n">
        <v>0.3</v>
      </c>
    </row>
    <row r="251" customFormat="false" ht="12.75" hidden="false" customHeight="false" outlineLevel="0" collapsed="false">
      <c r="A251" s="128"/>
      <c r="B251" s="128"/>
      <c r="C251" s="126" t="e">
        <f aca="false">NextMonth(C250)</f>
        <v>#VALUE!</v>
      </c>
      <c r="D251" s="127" t="n">
        <v>0.066941464133115</v>
      </c>
      <c r="E251" s="127" t="n">
        <v>5.226</v>
      </c>
      <c r="F251" s="127" t="n">
        <v>0.17</v>
      </c>
      <c r="I251" s="127" t="n">
        <v>0</v>
      </c>
      <c r="J251" s="127" t="n">
        <v>0</v>
      </c>
      <c r="K251" s="127" t="n">
        <v>-0.045</v>
      </c>
      <c r="L251" s="0" t="n">
        <v>-0.025</v>
      </c>
      <c r="M251" s="128" t="n">
        <v>0.35</v>
      </c>
      <c r="N251" s="0" t="n">
        <v>0</v>
      </c>
      <c r="O251" s="55" t="n">
        <v>1.61</v>
      </c>
      <c r="P251" s="55" t="n">
        <v>0.5</v>
      </c>
    </row>
    <row r="252" customFormat="false" ht="12.75" hidden="false" customHeight="false" outlineLevel="0" collapsed="false">
      <c r="A252" s="128"/>
      <c r="B252" s="128"/>
      <c r="C252" s="126" t="e">
        <f aca="false">NextMonth(C251)</f>
        <v>#VALUE!</v>
      </c>
      <c r="D252" s="127" t="n">
        <v>0.0669825936908377</v>
      </c>
      <c r="E252" s="127" t="n">
        <v>5.108</v>
      </c>
      <c r="F252" s="127" t="n">
        <v>0.17</v>
      </c>
      <c r="I252" s="127" t="n">
        <v>0</v>
      </c>
      <c r="J252" s="127" t="n">
        <v>0</v>
      </c>
      <c r="K252" s="127" t="n">
        <v>-0.0275</v>
      </c>
      <c r="L252" s="0" t="n">
        <v>-0.025</v>
      </c>
      <c r="M252" s="128" t="n">
        <v>0.35</v>
      </c>
      <c r="N252" s="0" t="n">
        <v>0</v>
      </c>
      <c r="O252" s="55" t="n">
        <v>1.57</v>
      </c>
      <c r="P252" s="55" t="n">
        <v>0.5</v>
      </c>
    </row>
    <row r="253" customFormat="false" ht="12.75" hidden="false" customHeight="false" outlineLevel="0" collapsed="false">
      <c r="A253" s="128"/>
      <c r="B253" s="128"/>
      <c r="C253" s="126" t="e">
        <f aca="false">NextMonth(C252)</f>
        <v>#VALUE!</v>
      </c>
      <c r="D253" s="127" t="n">
        <v>0.0670197429692627</v>
      </c>
      <c r="E253" s="127" t="n">
        <v>4.975</v>
      </c>
      <c r="F253" s="127" t="n">
        <v>0.17</v>
      </c>
      <c r="I253" s="127" t="n">
        <v>0</v>
      </c>
      <c r="J253" s="127" t="n">
        <v>0</v>
      </c>
      <c r="K253" s="127" t="n">
        <v>-0.015</v>
      </c>
      <c r="L253" s="0" t="n">
        <v>-0.02</v>
      </c>
      <c r="M253" s="128" t="n">
        <v>0.35</v>
      </c>
      <c r="N253" s="0" t="n">
        <v>0</v>
      </c>
      <c r="O253" s="55" t="n">
        <v>0.93</v>
      </c>
      <c r="P253" s="55" t="n">
        <v>0.1</v>
      </c>
    </row>
    <row r="254" customFormat="false" ht="12.75" hidden="false" customHeight="false" outlineLevel="0" collapsed="false">
      <c r="A254" s="128"/>
      <c r="B254" s="128"/>
      <c r="C254" s="126" t="e">
        <f aca="false">NextMonth(C253)</f>
        <v>#VALUE!</v>
      </c>
      <c r="D254" s="127" t="n">
        <v>0.0670608725280517</v>
      </c>
      <c r="E254" s="127" t="n">
        <v>4.76</v>
      </c>
      <c r="F254" s="127" t="n">
        <v>0.17</v>
      </c>
      <c r="I254" s="127" t="n">
        <v>0</v>
      </c>
      <c r="J254" s="127" t="n">
        <v>0</v>
      </c>
      <c r="K254" s="127" t="n">
        <v>0.02</v>
      </c>
      <c r="L254" s="0" t="n">
        <v>-0.015</v>
      </c>
      <c r="M254" s="128" t="n">
        <v>0.43</v>
      </c>
      <c r="N254" s="0" t="n">
        <v>0</v>
      </c>
      <c r="O254" s="55" t="n">
        <v>0.48</v>
      </c>
      <c r="P254" s="55" t="n">
        <v>0.02</v>
      </c>
    </row>
    <row r="255" customFormat="false" ht="12.75" hidden="false" customHeight="false" outlineLevel="0" collapsed="false">
      <c r="A255" s="128"/>
      <c r="B255" s="128"/>
      <c r="C255" s="126" t="e">
        <f aca="false">NextMonth(C254)</f>
        <v>#VALUE!</v>
      </c>
      <c r="D255" s="127" t="n">
        <v>0.0671006753274135</v>
      </c>
      <c r="E255" s="127" t="n">
        <v>4.75</v>
      </c>
      <c r="F255" s="127" t="n">
        <v>0.17</v>
      </c>
      <c r="I255" s="127" t="n">
        <v>0</v>
      </c>
      <c r="J255" s="127" t="n">
        <v>0</v>
      </c>
      <c r="K255" s="127" t="n">
        <v>0.02</v>
      </c>
      <c r="L255" s="0" t="n">
        <v>-0.015</v>
      </c>
      <c r="M255" s="128" t="n">
        <v>0.43</v>
      </c>
      <c r="N255" s="0" t="n">
        <v>0</v>
      </c>
      <c r="O255" s="55" t="n">
        <v>0.42</v>
      </c>
      <c r="P255" s="55" t="n">
        <v>0.02</v>
      </c>
    </row>
    <row r="256" customFormat="false" ht="12.75" hidden="false" customHeight="false" outlineLevel="0" collapsed="false">
      <c r="A256" s="128"/>
      <c r="B256" s="128"/>
      <c r="C256" s="126" t="e">
        <f aca="false">NextMonth(C255)</f>
        <v>#VALUE!</v>
      </c>
      <c r="D256" s="127" t="n">
        <v>0.0671418048873047</v>
      </c>
      <c r="E256" s="127" t="n">
        <v>4.786</v>
      </c>
      <c r="F256" s="127" t="n">
        <v>0.17</v>
      </c>
      <c r="I256" s="127" t="n">
        <v>0</v>
      </c>
      <c r="J256" s="127" t="n">
        <v>0</v>
      </c>
      <c r="K256" s="127" t="n">
        <v>0.025</v>
      </c>
      <c r="L256" s="0" t="n">
        <v>-0.015</v>
      </c>
      <c r="M256" s="128" t="n">
        <v>0.43</v>
      </c>
      <c r="N256" s="0" t="n">
        <v>0</v>
      </c>
      <c r="O256" s="55" t="n">
        <v>0.42</v>
      </c>
      <c r="P256" s="55" t="n">
        <v>0.035</v>
      </c>
    </row>
    <row r="257" customFormat="false" ht="12.75" hidden="false" customHeight="false" outlineLevel="0" collapsed="false">
      <c r="A257" s="128"/>
      <c r="B257" s="128"/>
      <c r="C257" s="126" t="e">
        <f aca="false">NextMonth(C256)</f>
        <v>#VALUE!</v>
      </c>
      <c r="D257" s="127" t="n">
        <v>0.0671673133667823</v>
      </c>
      <c r="E257" s="127" t="n">
        <v>4.831</v>
      </c>
      <c r="F257" s="127" t="n">
        <v>0.17</v>
      </c>
      <c r="I257" s="127" t="n">
        <v>0</v>
      </c>
      <c r="J257" s="127" t="n">
        <v>0</v>
      </c>
      <c r="K257" s="127" t="n">
        <v>0.0275</v>
      </c>
      <c r="L257" s="0" t="n">
        <v>-0.01</v>
      </c>
      <c r="M257" s="128" t="n">
        <v>0.43</v>
      </c>
      <c r="N257" s="0" t="n">
        <v>0</v>
      </c>
      <c r="O257" s="55" t="n">
        <v>0.48</v>
      </c>
      <c r="P257" s="55" t="n">
        <v>0.035</v>
      </c>
    </row>
    <row r="258" customFormat="false" ht="12.75" hidden="false" customHeight="false" outlineLevel="0" collapsed="false">
      <c r="A258" s="128"/>
      <c r="B258" s="128"/>
      <c r="C258" s="126" t="e">
        <f aca="false">NextMonth(C257)</f>
        <v>#VALUE!</v>
      </c>
      <c r="D258" s="127" t="n">
        <v>0.0671641305324591</v>
      </c>
      <c r="E258" s="127" t="n">
        <v>4.879</v>
      </c>
      <c r="F258" s="127" t="n">
        <v>0.17</v>
      </c>
      <c r="I258" s="127" t="n">
        <v>0</v>
      </c>
      <c r="J258" s="127" t="n">
        <v>0</v>
      </c>
      <c r="K258" s="127" t="n">
        <v>0.03</v>
      </c>
      <c r="L258" s="0" t="n">
        <v>-0.01</v>
      </c>
      <c r="M258" s="128" t="n">
        <v>0.43</v>
      </c>
      <c r="N258" s="0" t="n">
        <v>0</v>
      </c>
      <c r="O258" s="55" t="n">
        <v>0.48</v>
      </c>
      <c r="P258" s="55" t="n">
        <v>0.035</v>
      </c>
    </row>
    <row r="259" customFormat="false" ht="12.75" hidden="false" customHeight="false" outlineLevel="0" collapsed="false">
      <c r="A259" s="128"/>
      <c r="B259" s="128"/>
      <c r="C259" s="126" t="e">
        <f aca="false">NextMonth(C258)</f>
        <v>#VALUE!</v>
      </c>
      <c r="D259" s="127" t="n">
        <v>0.0671609476981394</v>
      </c>
      <c r="E259" s="127" t="n">
        <v>4.893</v>
      </c>
      <c r="F259" s="127" t="n">
        <v>0.17</v>
      </c>
      <c r="I259" s="127" t="n">
        <v>0</v>
      </c>
      <c r="J259" s="127" t="n">
        <v>0</v>
      </c>
      <c r="K259" s="127" t="n">
        <v>0.0225</v>
      </c>
      <c r="L259" s="0" t="n">
        <v>-0.01</v>
      </c>
      <c r="M259" s="128" t="n">
        <v>0.43</v>
      </c>
      <c r="N259" s="0" t="n">
        <v>0</v>
      </c>
      <c r="O259" s="55" t="n">
        <v>0.44</v>
      </c>
      <c r="P259" s="55" t="n">
        <v>0.035</v>
      </c>
    </row>
    <row r="260" customFormat="false" ht="12.75" hidden="false" customHeight="false" outlineLevel="0" collapsed="false">
      <c r="A260" s="128"/>
      <c r="B260" s="128"/>
      <c r="C260" s="126" t="e">
        <f aca="false">NextMonth(C259)</f>
        <v>#VALUE!</v>
      </c>
      <c r="D260" s="127" t="n">
        <v>0.0671578675358977</v>
      </c>
      <c r="E260" s="127" t="n">
        <v>4.921</v>
      </c>
      <c r="F260" s="127" t="n">
        <v>0.17</v>
      </c>
      <c r="I260" s="127" t="n">
        <v>0</v>
      </c>
      <c r="J260" s="127" t="n">
        <v>0</v>
      </c>
      <c r="K260" s="127" t="n">
        <v>0.0125</v>
      </c>
      <c r="L260" s="0" t="n">
        <v>-0.015</v>
      </c>
      <c r="M260" s="128" t="n">
        <v>0.43</v>
      </c>
      <c r="N260" s="0" t="n">
        <v>0</v>
      </c>
      <c r="O260" s="55" t="n">
        <v>0.45</v>
      </c>
      <c r="P260" s="55" t="n">
        <v>0.035</v>
      </c>
    </row>
    <row r="261" customFormat="false" ht="12.75" hidden="false" customHeight="false" outlineLevel="0" collapsed="false">
      <c r="A261" s="128"/>
      <c r="B261" s="128"/>
      <c r="C261" s="126" t="e">
        <f aca="false">NextMonth(C260)</f>
        <v>#VALUE!</v>
      </c>
      <c r="D261" s="127" t="n">
        <v>0.0671546847015847</v>
      </c>
      <c r="E261" s="127" t="n">
        <v>5.056</v>
      </c>
      <c r="F261" s="127" t="n">
        <v>0.17</v>
      </c>
      <c r="I261" s="127" t="n">
        <v>0</v>
      </c>
      <c r="J261" s="127" t="n">
        <v>0</v>
      </c>
      <c r="K261" s="127" t="n">
        <v>-0.02</v>
      </c>
      <c r="L261" s="0" t="n">
        <v>-0.02</v>
      </c>
      <c r="M261" s="128" t="n">
        <v>0</v>
      </c>
      <c r="N261" s="0" t="n">
        <v>0</v>
      </c>
      <c r="O261" s="55" t="n">
        <v>0.86</v>
      </c>
      <c r="P261" s="55" t="n">
        <v>0.1</v>
      </c>
    </row>
    <row r="262" customFormat="false" ht="12.75" hidden="false" customHeight="false" outlineLevel="0" collapsed="false">
      <c r="A262" s="128"/>
      <c r="B262" s="128"/>
      <c r="C262" s="126" t="e">
        <f aca="false">NextMonth(C261)</f>
        <v>#VALUE!</v>
      </c>
      <c r="D262" s="127" t="n">
        <v>0.0671516045393496</v>
      </c>
      <c r="E262" s="127" t="n">
        <v>5.191</v>
      </c>
      <c r="F262" s="127" t="n">
        <v>0.17</v>
      </c>
      <c r="I262" s="127" t="n">
        <v>0</v>
      </c>
      <c r="J262" s="127" t="n">
        <v>0</v>
      </c>
      <c r="K262" s="127" t="n">
        <v>-0.0425</v>
      </c>
      <c r="L262" s="0" t="n">
        <v>-0.025</v>
      </c>
      <c r="M262" s="128" t="n">
        <v>0</v>
      </c>
      <c r="N262" s="0" t="n">
        <v>0</v>
      </c>
      <c r="O262" s="55" t="n">
        <v>1.28</v>
      </c>
      <c r="P262" s="55" t="n">
        <v>0.3</v>
      </c>
    </row>
    <row r="263" customFormat="false" ht="12.75" hidden="false" customHeight="false" outlineLevel="0" collapsed="false">
      <c r="A263" s="128"/>
      <c r="B263" s="128"/>
      <c r="C263" s="126" t="e">
        <f aca="false">NextMonth(C262)</f>
        <v>#VALUE!</v>
      </c>
      <c r="D263" s="127" t="n">
        <v>0.0671484217050429</v>
      </c>
      <c r="E263" s="127" t="n">
        <v>5.306</v>
      </c>
      <c r="F263" s="127" t="n">
        <v>0.17</v>
      </c>
      <c r="I263" s="127" t="n">
        <v>0</v>
      </c>
      <c r="J263" s="127" t="n">
        <v>0</v>
      </c>
      <c r="K263" s="127" t="n">
        <v>-0.045</v>
      </c>
      <c r="L263" s="0" t="n">
        <v>-0.025</v>
      </c>
      <c r="M263" s="128" t="n">
        <v>0</v>
      </c>
      <c r="N263" s="0" t="n">
        <v>0</v>
      </c>
      <c r="O263" s="55" t="n">
        <v>1.61</v>
      </c>
      <c r="P263" s="55" t="n">
        <v>0.5</v>
      </c>
    </row>
    <row r="264" customFormat="false" ht="12.75" hidden="false" customHeight="false" outlineLevel="0" collapsed="false">
      <c r="A264" s="128"/>
      <c r="B264" s="128"/>
      <c r="C264" s="126" t="e">
        <f aca="false">NextMonth(C263)</f>
        <v>#VALUE!</v>
      </c>
      <c r="D264" s="127" t="n">
        <v>0.0671452388707401</v>
      </c>
      <c r="E264" s="127" t="n">
        <v>5.188</v>
      </c>
      <c r="F264" s="127" t="n">
        <v>0.17</v>
      </c>
      <c r="I264" s="127" t="n">
        <v>0</v>
      </c>
      <c r="J264" s="127" t="n">
        <v>0</v>
      </c>
      <c r="K264" s="127" t="n">
        <v>-0.0275</v>
      </c>
      <c r="L264" s="0" t="n">
        <v>-0.025</v>
      </c>
      <c r="M264" s="128" t="n">
        <v>0</v>
      </c>
      <c r="N264" s="0" t="n">
        <v>0</v>
      </c>
      <c r="O264" s="55" t="n">
        <v>1.57</v>
      </c>
      <c r="P264" s="55" t="n">
        <v>0.5</v>
      </c>
    </row>
    <row r="265" customFormat="false" ht="12.75" hidden="false" customHeight="false" outlineLevel="0" collapsed="false">
      <c r="A265" s="128"/>
      <c r="B265" s="128"/>
      <c r="C265" s="126" t="e">
        <f aca="false">NextMonth(C264)</f>
        <v>#VALUE!</v>
      </c>
      <c r="D265" s="127" t="n">
        <v>0.0671423640526627</v>
      </c>
      <c r="E265" s="127" t="n">
        <v>5.055</v>
      </c>
      <c r="F265" s="127" t="n">
        <v>0.17</v>
      </c>
      <c r="I265" s="127" t="n">
        <v>0</v>
      </c>
      <c r="J265" s="127" t="n">
        <v>0</v>
      </c>
      <c r="K265" s="127" t="n">
        <v>-0.015</v>
      </c>
      <c r="L265" s="0" t="n">
        <v>-0.02</v>
      </c>
      <c r="M265" s="128" t="n">
        <v>0</v>
      </c>
      <c r="N265" s="0" t="n">
        <v>0</v>
      </c>
      <c r="O265" s="55" t="n">
        <v>0.93</v>
      </c>
      <c r="P265" s="55" t="n">
        <v>0.1</v>
      </c>
    </row>
    <row r="266" customFormat="false" ht="12.75" hidden="false" customHeight="false" outlineLevel="0" collapsed="false">
      <c r="A266" s="128"/>
      <c r="B266" s="128"/>
      <c r="C266" s="126" t="e">
        <f aca="false">NextMonth(C265)</f>
        <v>#VALUE!</v>
      </c>
      <c r="D266" s="127" t="n">
        <v>0.0671391812183662</v>
      </c>
      <c r="E266" s="127" t="n">
        <v>4.84</v>
      </c>
      <c r="F266" s="127" t="n">
        <v>0.17</v>
      </c>
      <c r="I266" s="127" t="n">
        <v>0</v>
      </c>
      <c r="J266" s="127" t="n">
        <v>0</v>
      </c>
      <c r="K266" s="127" t="n">
        <v>0.02</v>
      </c>
      <c r="L266" s="0" t="n">
        <v>-0.015</v>
      </c>
      <c r="M266" s="128" t="n">
        <v>0</v>
      </c>
      <c r="N266" s="0" t="n">
        <v>0</v>
      </c>
      <c r="O266" s="55" t="n">
        <v>0.48</v>
      </c>
      <c r="P266" s="55" t="n">
        <v>0.02</v>
      </c>
    </row>
    <row r="267" customFormat="false" ht="12.75" hidden="false" customHeight="false" outlineLevel="0" collapsed="false">
      <c r="A267" s="128"/>
      <c r="B267" s="128"/>
      <c r="C267" s="126" t="e">
        <f aca="false">NextMonth(C266)</f>
        <v>#VALUE!</v>
      </c>
      <c r="D267" s="127" t="n">
        <v>0.0671361010561466</v>
      </c>
      <c r="E267" s="127" t="n">
        <v>4.83</v>
      </c>
      <c r="F267" s="127" t="n">
        <v>0.17</v>
      </c>
      <c r="I267" s="127" t="n">
        <v>0</v>
      </c>
      <c r="J267" s="127" t="n">
        <v>0</v>
      </c>
      <c r="K267" s="127" t="n">
        <v>0.02</v>
      </c>
      <c r="L267" s="0" t="n">
        <v>-0.015</v>
      </c>
      <c r="M267" s="128" t="n">
        <v>0</v>
      </c>
      <c r="N267" s="0" t="n">
        <v>0</v>
      </c>
      <c r="O267" s="55" t="n">
        <v>0.42</v>
      </c>
      <c r="P267" s="55" t="n">
        <v>0.02</v>
      </c>
    </row>
    <row r="268" customFormat="false" ht="12.75" hidden="false" customHeight="false" outlineLevel="0" collapsed="false">
      <c r="A268" s="128"/>
      <c r="B268" s="128"/>
      <c r="C268" s="126" t="e">
        <f aca="false">NextMonth(C267)</f>
        <v>#VALUE!</v>
      </c>
      <c r="D268" s="127" t="n">
        <v>0.0671329182218567</v>
      </c>
      <c r="E268" s="127" t="n">
        <v>4.866</v>
      </c>
      <c r="F268" s="127" t="n">
        <v>0.17</v>
      </c>
      <c r="I268" s="127" t="n">
        <v>0</v>
      </c>
      <c r="J268" s="127" t="n">
        <v>0</v>
      </c>
      <c r="K268" s="127" t="n">
        <v>0.025</v>
      </c>
      <c r="L268" s="0" t="n">
        <v>-0.015</v>
      </c>
      <c r="M268" s="128" t="n">
        <v>0</v>
      </c>
      <c r="N268" s="0" t="n">
        <v>0</v>
      </c>
      <c r="O268" s="55" t="n">
        <v>0.42</v>
      </c>
      <c r="P268" s="55" t="n">
        <v>0.035</v>
      </c>
    </row>
    <row r="269" customFormat="false" ht="12.75" hidden="false" customHeight="false" outlineLevel="0" collapsed="false">
      <c r="A269" s="128"/>
      <c r="B269" s="128"/>
      <c r="C269" s="126" t="e">
        <f aca="false">NextMonth(C268)</f>
        <v>#VALUE!</v>
      </c>
      <c r="D269" s="127" t="n">
        <v>0.0671298380596434</v>
      </c>
      <c r="E269" s="127" t="n">
        <v>4.911</v>
      </c>
      <c r="F269" s="127" t="n">
        <v>0.17</v>
      </c>
      <c r="I269" s="127" t="n">
        <v>0</v>
      </c>
      <c r="J269" s="127" t="n">
        <v>0</v>
      </c>
      <c r="K269" s="127" t="n">
        <v>0.0275</v>
      </c>
      <c r="L269" s="0" t="n">
        <v>-0.01</v>
      </c>
      <c r="M269" s="128" t="n">
        <v>0</v>
      </c>
      <c r="N269" s="0" t="n">
        <v>0</v>
      </c>
      <c r="O269" s="55" t="n">
        <v>0.48</v>
      </c>
      <c r="P269" s="55" t="n">
        <v>0.035</v>
      </c>
    </row>
    <row r="270" customFormat="false" ht="12.75" hidden="false" customHeight="false" outlineLevel="0" collapsed="false">
      <c r="A270" s="128"/>
      <c r="B270" s="128"/>
      <c r="C270" s="126" t="e">
        <f aca="false">NextMonth(C269)</f>
        <v>#VALUE!</v>
      </c>
      <c r="D270" s="127" t="n">
        <v>0.0671266552253602</v>
      </c>
      <c r="E270" s="127" t="n">
        <v>4.959</v>
      </c>
      <c r="F270" s="127" t="n">
        <v>0.17</v>
      </c>
      <c r="I270" s="127" t="n">
        <v>0</v>
      </c>
      <c r="J270" s="127" t="n">
        <v>0</v>
      </c>
      <c r="K270" s="127" t="n">
        <v>0.03</v>
      </c>
      <c r="L270" s="0" t="n">
        <v>-0.01</v>
      </c>
      <c r="M270" s="128" t="n">
        <v>0</v>
      </c>
      <c r="N270" s="0" t="n">
        <v>0</v>
      </c>
      <c r="O270" s="55" t="n">
        <v>0.48</v>
      </c>
      <c r="P270" s="55" t="n">
        <v>0.035</v>
      </c>
    </row>
    <row r="271" customFormat="false" ht="12.75" hidden="false" customHeight="false" outlineLevel="0" collapsed="false">
      <c r="A271" s="128"/>
      <c r="B271" s="128"/>
      <c r="C271" s="126" t="e">
        <f aca="false">NextMonth(C270)</f>
        <v>#VALUE!</v>
      </c>
      <c r="D271" s="127" t="n">
        <v>0.0671234723910801</v>
      </c>
      <c r="E271" s="127" t="n">
        <v>4.973</v>
      </c>
      <c r="F271" s="127" t="n">
        <v>0.17</v>
      </c>
      <c r="I271" s="127" t="n">
        <v>0</v>
      </c>
      <c r="J271" s="127" t="n">
        <v>0</v>
      </c>
      <c r="K271" s="127" t="n">
        <v>0.0225</v>
      </c>
      <c r="L271" s="0" t="n">
        <v>-0.01</v>
      </c>
      <c r="M271" s="128" t="n">
        <v>0</v>
      </c>
      <c r="N271" s="0" t="n">
        <v>0</v>
      </c>
      <c r="O271" s="55" t="n">
        <v>0.44</v>
      </c>
      <c r="P271" s="55" t="n">
        <v>0.035</v>
      </c>
    </row>
    <row r="272" customFormat="false" ht="12.75" hidden="false" customHeight="false" outlineLevel="0" collapsed="false">
      <c r="A272" s="128"/>
      <c r="B272" s="128"/>
      <c r="C272" s="126" t="e">
        <f aca="false">NextMonth(C271)</f>
        <v>#VALUE!</v>
      </c>
      <c r="D272" s="127" t="n">
        <v>0.0671203922288766</v>
      </c>
      <c r="E272" s="127" t="n">
        <v>5.001</v>
      </c>
      <c r="F272" s="127" t="n">
        <v>0.17</v>
      </c>
      <c r="I272" s="127" t="n">
        <v>0</v>
      </c>
      <c r="J272" s="127" t="n">
        <v>0</v>
      </c>
      <c r="K272" s="127" t="n">
        <v>0.0125</v>
      </c>
      <c r="L272" s="0" t="n">
        <v>-0.015</v>
      </c>
      <c r="M272" s="128" t="n">
        <v>0</v>
      </c>
      <c r="N272" s="0" t="n">
        <v>0</v>
      </c>
      <c r="O272" s="55" t="n">
        <v>0.45</v>
      </c>
      <c r="P272" s="55" t="n">
        <v>0.035</v>
      </c>
    </row>
    <row r="273" customFormat="false" ht="12.75" hidden="false" customHeight="false" outlineLevel="0" collapsed="false">
      <c r="A273" s="128"/>
      <c r="B273" s="128"/>
      <c r="C273" s="126" t="e">
        <f aca="false">NextMonth(C272)</f>
        <v>#VALUE!</v>
      </c>
      <c r="D273" s="127" t="n">
        <v>0.0671172093946031</v>
      </c>
      <c r="E273" s="127" t="n">
        <v>5.136</v>
      </c>
      <c r="F273" s="127" t="n">
        <v>0.17</v>
      </c>
      <c r="I273" s="127" t="n">
        <v>0</v>
      </c>
      <c r="J273" s="127" t="n">
        <v>0</v>
      </c>
      <c r="K273" s="127" t="n">
        <v>-0.02</v>
      </c>
      <c r="L273" s="0" t="n">
        <v>-0.02</v>
      </c>
      <c r="M273" s="128" t="n">
        <v>0</v>
      </c>
      <c r="N273" s="0" t="n">
        <v>0</v>
      </c>
      <c r="O273" s="55" t="n">
        <v>0.86</v>
      </c>
      <c r="P273" s="55" t="n">
        <v>0.1</v>
      </c>
    </row>
    <row r="274" customFormat="false" ht="12.75" hidden="false" customHeight="false" outlineLevel="0" collapsed="false">
      <c r="A274" s="128"/>
      <c r="B274" s="128"/>
      <c r="C274" s="126" t="e">
        <f aca="false">NextMonth(C273)</f>
        <v>#VALUE!</v>
      </c>
      <c r="D274" s="127" t="n">
        <v>0.0671141292324058</v>
      </c>
      <c r="E274" s="127" t="n">
        <v>5.271</v>
      </c>
      <c r="F274" s="127" t="n">
        <v>0.17</v>
      </c>
      <c r="I274" s="127" t="n">
        <v>0</v>
      </c>
      <c r="J274" s="127" t="n">
        <v>0</v>
      </c>
      <c r="K274" s="127" t="n">
        <v>-0.0425</v>
      </c>
      <c r="L274" s="0" t="n">
        <v>-0.025</v>
      </c>
      <c r="M274" s="128" t="n">
        <v>0</v>
      </c>
      <c r="N274" s="0" t="n">
        <v>0</v>
      </c>
      <c r="O274" s="55" t="n">
        <v>1.28</v>
      </c>
      <c r="P274" s="55" t="n">
        <v>0.3</v>
      </c>
    </row>
    <row r="275" customFormat="false" ht="12.75" hidden="false" customHeight="false" outlineLevel="0" collapsed="false">
      <c r="A275" s="128"/>
      <c r="B275" s="128"/>
      <c r="C275" s="126" t="e">
        <f aca="false">NextMonth(C274)</f>
        <v>#VALUE!</v>
      </c>
      <c r="D275" s="127" t="n">
        <v>0.067110946398139</v>
      </c>
      <c r="E275" s="127" t="n">
        <v>5.386</v>
      </c>
      <c r="F275" s="127" t="n">
        <v>0.17</v>
      </c>
      <c r="K275" s="127" t="n">
        <v>-0.045</v>
      </c>
      <c r="L275" s="0" t="n">
        <v>-0.025</v>
      </c>
      <c r="M275" s="128" t="n">
        <v>0</v>
      </c>
      <c r="N275" s="0" t="n">
        <v>0</v>
      </c>
      <c r="O275" s="55" t="n">
        <v>1.61</v>
      </c>
      <c r="P275" s="55" t="n">
        <v>0.5</v>
      </c>
    </row>
    <row r="276" customFormat="false" ht="12.75" hidden="false" customHeight="false" outlineLevel="0" collapsed="false">
      <c r="A276" s="128"/>
      <c r="B276" s="128"/>
      <c r="C276" s="126" t="e">
        <f aca="false">NextMonth(C275)</f>
        <v>#VALUE!</v>
      </c>
      <c r="D276" s="127" t="n">
        <v>0.0671077635638753</v>
      </c>
      <c r="E276" s="127" t="n">
        <v>5.268</v>
      </c>
      <c r="F276" s="127" t="n">
        <v>0.17</v>
      </c>
      <c r="K276" s="127" t="n">
        <v>-0.0275</v>
      </c>
      <c r="L276" s="0" t="n">
        <v>-0.025</v>
      </c>
      <c r="M276" s="128" t="n">
        <v>0</v>
      </c>
      <c r="N276" s="0" t="n">
        <v>0</v>
      </c>
      <c r="O276" s="55" t="n">
        <v>1.57</v>
      </c>
      <c r="P276" s="55" t="n">
        <v>0.5</v>
      </c>
    </row>
    <row r="277" customFormat="false" ht="12.75" hidden="false" customHeight="false" outlineLevel="0" collapsed="false">
      <c r="A277" s="128"/>
      <c r="B277" s="128"/>
      <c r="C277" s="126" t="e">
        <f aca="false">NextMonth(C276)</f>
        <v>#VALUE!</v>
      </c>
      <c r="D277" s="127" t="n">
        <v>0.0671048887458334</v>
      </c>
      <c r="E277" s="127" t="n">
        <v>5.135</v>
      </c>
      <c r="F277" s="127" t="n">
        <v>0.17</v>
      </c>
      <c r="K277" s="127" t="n">
        <v>-0.015</v>
      </c>
      <c r="L277" s="0" t="n">
        <v>-0.02</v>
      </c>
      <c r="M277" s="128" t="n">
        <v>0</v>
      </c>
      <c r="N277" s="0" t="n">
        <v>0</v>
      </c>
      <c r="O277" s="55" t="n">
        <v>0.93</v>
      </c>
      <c r="P277" s="55" t="n">
        <v>0.1</v>
      </c>
    </row>
    <row r="278" customFormat="false" ht="12.75" hidden="false" customHeight="false" outlineLevel="0" collapsed="false">
      <c r="A278" s="128"/>
      <c r="B278" s="128"/>
      <c r="C278" s="126" t="e">
        <f aca="false">NextMonth(C277)</f>
        <v>#VALUE!</v>
      </c>
      <c r="D278" s="127" t="n">
        <v>0.0671017059115764</v>
      </c>
      <c r="E278" s="127" t="n">
        <v>4.92</v>
      </c>
      <c r="F278" s="127" t="n">
        <v>0.17</v>
      </c>
      <c r="K278" s="127" t="n">
        <v>0.02</v>
      </c>
      <c r="L278" s="0" t="n">
        <v>-0.015</v>
      </c>
      <c r="M278" s="128" t="n">
        <v>0</v>
      </c>
      <c r="N278" s="0" t="n">
        <v>0</v>
      </c>
      <c r="O278" s="55" t="n">
        <v>0.48</v>
      </c>
      <c r="P278" s="55" t="n">
        <v>0.02</v>
      </c>
    </row>
    <row r="279" customFormat="false" ht="12.75" hidden="false" customHeight="false" outlineLevel="0" collapsed="false">
      <c r="A279" s="128"/>
      <c r="B279" s="128"/>
      <c r="C279" s="126" t="e">
        <f aca="false">NextMonth(C278)</f>
        <v>#VALUE!</v>
      </c>
      <c r="D279" s="127" t="n">
        <v>0.0670986257493951</v>
      </c>
      <c r="E279" s="127" t="n">
        <v>4.91</v>
      </c>
      <c r="F279" s="127" t="n">
        <v>0.17</v>
      </c>
      <c r="K279" s="127" t="n">
        <v>0.02</v>
      </c>
      <c r="L279" s="0" t="n">
        <v>-0.015</v>
      </c>
      <c r="M279" s="128" t="n">
        <v>0</v>
      </c>
      <c r="N279" s="0" t="n">
        <v>0</v>
      </c>
      <c r="O279" s="55" t="n">
        <v>0.42</v>
      </c>
      <c r="P279" s="55" t="n">
        <v>0.02</v>
      </c>
    </row>
    <row r="280" customFormat="false" ht="12.75" hidden="false" customHeight="false" outlineLevel="0" collapsed="false">
      <c r="A280" s="128"/>
      <c r="B280" s="128"/>
      <c r="C280" s="126" t="e">
        <f aca="false">NextMonth(C279)</f>
        <v>#VALUE!</v>
      </c>
      <c r="D280" s="127" t="n">
        <v>0.0670954429151442</v>
      </c>
      <c r="E280" s="127" t="n">
        <v>4.946</v>
      </c>
      <c r="F280" s="127" t="n">
        <v>0.17</v>
      </c>
      <c r="K280" s="127" t="n">
        <v>0.025</v>
      </c>
      <c r="L280" s="0" t="n">
        <v>-0.015</v>
      </c>
      <c r="M280" s="128" t="n">
        <v>0</v>
      </c>
      <c r="N280" s="0" t="n">
        <v>0</v>
      </c>
      <c r="O280" s="55" t="n">
        <v>0.42</v>
      </c>
      <c r="P280" s="55" t="n">
        <v>0.035</v>
      </c>
    </row>
    <row r="281" customFormat="false" ht="12.75" hidden="false" customHeight="false" outlineLevel="0" collapsed="false">
      <c r="A281" s="128"/>
      <c r="B281" s="128"/>
      <c r="C281" s="126" t="e">
        <f aca="false">NextMonth(C280)</f>
        <v>#VALUE!</v>
      </c>
      <c r="D281" s="127" t="n">
        <v>0.0670923627529696</v>
      </c>
      <c r="E281" s="127" t="n">
        <v>4.991</v>
      </c>
      <c r="F281" s="127" t="n">
        <v>0.17</v>
      </c>
      <c r="K281" s="127" t="n">
        <v>0.0275</v>
      </c>
      <c r="L281" s="0" t="n">
        <v>-0.01</v>
      </c>
      <c r="M281" s="128" t="n">
        <v>0</v>
      </c>
      <c r="N281" s="0" t="n">
        <v>0</v>
      </c>
      <c r="O281" s="55" t="n">
        <v>0.48</v>
      </c>
      <c r="P281" s="55" t="n">
        <v>0.035</v>
      </c>
    </row>
    <row r="282" customFormat="false" ht="12.75" hidden="false" customHeight="false" outlineLevel="0" collapsed="false">
      <c r="A282" s="128"/>
      <c r="B282" s="128"/>
      <c r="C282" s="126" t="e">
        <f aca="false">NextMonth(C281)</f>
        <v>#VALUE!</v>
      </c>
      <c r="D282" s="127" t="n">
        <v>0.0670891799187259</v>
      </c>
      <c r="E282" s="127" t="n">
        <v>5.039</v>
      </c>
      <c r="F282" s="127" t="n">
        <v>0.17</v>
      </c>
      <c r="K282" s="127" t="n">
        <v>0.03</v>
      </c>
      <c r="L282" s="0" t="n">
        <v>-0.01</v>
      </c>
      <c r="M282" s="128" t="n">
        <v>0</v>
      </c>
      <c r="N282" s="0" t="n">
        <v>0</v>
      </c>
      <c r="O282" s="55" t="n">
        <v>0.48</v>
      </c>
      <c r="P282" s="55" t="n">
        <v>0.035</v>
      </c>
    </row>
    <row r="283" customFormat="false" ht="12.75" hidden="false" customHeight="false" outlineLevel="0" collapsed="false">
      <c r="A283" s="128"/>
      <c r="B283" s="128"/>
      <c r="C283" s="126" t="e">
        <f aca="false">NextMonth(C282)</f>
        <v>#VALUE!</v>
      </c>
      <c r="D283" s="127" t="n">
        <v>0.0670859970844853</v>
      </c>
      <c r="E283" s="127" t="n">
        <v>5.053</v>
      </c>
      <c r="F283" s="127" t="n">
        <v>0.17</v>
      </c>
      <c r="K283" s="127" t="n">
        <v>0.0225</v>
      </c>
      <c r="L283" s="0" t="n">
        <v>-0.01</v>
      </c>
      <c r="M283" s="128" t="n">
        <v>0</v>
      </c>
      <c r="N283" s="0" t="n">
        <v>0</v>
      </c>
      <c r="O283" s="55" t="n">
        <v>0.44</v>
      </c>
      <c r="P283" s="55" t="n">
        <v>0.035</v>
      </c>
    </row>
    <row r="284" customFormat="false" ht="12.75" hidden="false" customHeight="false" outlineLevel="0" collapsed="false">
      <c r="A284" s="128"/>
      <c r="B284" s="128"/>
      <c r="C284" s="126" t="e">
        <f aca="false">NextMonth(C283)</f>
        <v>#VALUE!</v>
      </c>
      <c r="D284" s="127" t="n">
        <v>0.0670829169223199</v>
      </c>
      <c r="E284" s="127" t="n">
        <v>5.081</v>
      </c>
      <c r="F284" s="127" t="n">
        <v>0.17</v>
      </c>
      <c r="K284" s="127" t="n">
        <v>0.0125</v>
      </c>
      <c r="L284" s="0" t="n">
        <v>-0.015</v>
      </c>
      <c r="M284" s="128" t="n">
        <v>0</v>
      </c>
      <c r="N284" s="0" t="n">
        <v>0</v>
      </c>
      <c r="O284" s="55" t="n">
        <v>0.45</v>
      </c>
      <c r="P284" s="55" t="n">
        <v>0.035</v>
      </c>
    </row>
    <row r="285" customFormat="false" ht="12.75" hidden="false" customHeight="false" outlineLevel="0" collapsed="false">
      <c r="A285" s="128"/>
      <c r="B285" s="128"/>
      <c r="C285" s="126" t="e">
        <f aca="false">NextMonth(C284)</f>
        <v>#VALUE!</v>
      </c>
      <c r="D285" s="127" t="n">
        <v>0.067079734088086</v>
      </c>
      <c r="E285" s="127" t="n">
        <v>5.216</v>
      </c>
      <c r="F285" s="127" t="n">
        <v>0.17</v>
      </c>
      <c r="K285" s="127" t="n">
        <v>-0.02</v>
      </c>
      <c r="L285" s="0" t="n">
        <v>0</v>
      </c>
      <c r="M285" s="128" t="n">
        <v>0</v>
      </c>
      <c r="N285" s="0" t="n">
        <v>0</v>
      </c>
      <c r="O285" s="55" t="n">
        <v>0.86</v>
      </c>
      <c r="P285" s="55" t="n">
        <v>0.1</v>
      </c>
    </row>
    <row r="286" customFormat="false" ht="12.75" hidden="false" customHeight="false" outlineLevel="0" collapsed="false">
      <c r="A286" s="128"/>
      <c r="B286" s="128"/>
      <c r="C286" s="126" t="e">
        <f aca="false">NextMonth(C285)</f>
        <v>#VALUE!</v>
      </c>
      <c r="D286" s="127" t="n">
        <v>0.0670766539259273</v>
      </c>
      <c r="E286" s="127" t="n">
        <v>5.351</v>
      </c>
      <c r="F286" s="127" t="n">
        <v>0.17</v>
      </c>
      <c r="K286" s="127" t="n">
        <v>-0.0425</v>
      </c>
      <c r="L286" s="0" t="n">
        <v>0</v>
      </c>
      <c r="M286" s="128" t="n">
        <v>0</v>
      </c>
      <c r="N286" s="0" t="n">
        <v>0</v>
      </c>
      <c r="O286" s="55" t="n">
        <v>1.28</v>
      </c>
      <c r="P286" s="55" t="n">
        <v>0.3</v>
      </c>
    </row>
    <row r="287" customFormat="false" ht="12.75" hidden="false" customHeight="false" outlineLevel="0" collapsed="false">
      <c r="A287" s="128"/>
      <c r="B287" s="128"/>
      <c r="C287" s="126" t="e">
        <f aca="false">NextMonth(C286)</f>
        <v>#VALUE!</v>
      </c>
      <c r="D287" s="127" t="n">
        <v>0.0670734710916996</v>
      </c>
      <c r="E287" s="127" t="n">
        <v>5.466</v>
      </c>
      <c r="F287" s="127" t="n">
        <v>0.17</v>
      </c>
      <c r="K287" s="127" t="n">
        <v>-0.045</v>
      </c>
      <c r="L287" s="0" t="n">
        <v>0</v>
      </c>
      <c r="M287" s="128" t="n">
        <v>0</v>
      </c>
      <c r="N287" s="0" t="n">
        <v>0</v>
      </c>
      <c r="O287" s="55" t="n">
        <v>1.61</v>
      </c>
      <c r="P287" s="55" t="n">
        <v>0.5</v>
      </c>
    </row>
    <row r="288" customFormat="false" ht="12.75" hidden="false" customHeight="false" outlineLevel="0" collapsed="false">
      <c r="A288" s="128"/>
      <c r="B288" s="128"/>
      <c r="C288" s="126" t="e">
        <f aca="false">NextMonth(C287)</f>
        <v>#VALUE!</v>
      </c>
      <c r="D288" s="127" t="n">
        <v>0.0670702882574754</v>
      </c>
      <c r="E288" s="127" t="n">
        <v>5.348</v>
      </c>
      <c r="F288" s="127" t="n">
        <v>0.17</v>
      </c>
      <c r="K288" s="127" t="n">
        <v>-0.0275</v>
      </c>
      <c r="L288" s="0" t="n">
        <v>0</v>
      </c>
      <c r="M288" s="128" t="n">
        <v>0</v>
      </c>
      <c r="N288" s="0" t="n">
        <v>0</v>
      </c>
      <c r="O288" s="55" t="n">
        <v>1.57</v>
      </c>
      <c r="P288" s="55" t="n">
        <v>0.5</v>
      </c>
    </row>
    <row r="289" customFormat="false" ht="12.75" hidden="false" customHeight="false" outlineLevel="0" collapsed="false">
      <c r="A289" s="128"/>
      <c r="B289" s="128"/>
      <c r="C289" s="126" t="e">
        <f aca="false">NextMonth(C288)</f>
        <v>#VALUE!</v>
      </c>
      <c r="D289" s="127" t="n">
        <v>0.0670673107673978</v>
      </c>
      <c r="E289" s="127" t="n">
        <v>5.215</v>
      </c>
      <c r="F289" s="127" t="n">
        <v>0.17</v>
      </c>
      <c r="K289" s="127" t="n">
        <v>-0.015</v>
      </c>
      <c r="L289" s="0" t="n">
        <v>0</v>
      </c>
      <c r="M289" s="128" t="n">
        <v>0</v>
      </c>
      <c r="N289" s="0" t="n">
        <v>0</v>
      </c>
      <c r="O289" s="55" t="n">
        <v>0.93</v>
      </c>
      <c r="P289" s="55" t="n">
        <v>0.1</v>
      </c>
    </row>
    <row r="290" customFormat="false" ht="12.75" hidden="false" customHeight="false" outlineLevel="0" collapsed="false">
      <c r="A290" s="128"/>
      <c r="B290" s="128"/>
      <c r="C290" s="126" t="e">
        <f aca="false">NextMonth(C289)</f>
        <v>#VALUE!</v>
      </c>
      <c r="D290" s="127" t="n">
        <v>0.0670641279331803</v>
      </c>
      <c r="E290" s="127" t="n">
        <v>5</v>
      </c>
      <c r="F290" s="127" t="n">
        <v>0.17</v>
      </c>
      <c r="K290" s="127" t="n">
        <v>0.02</v>
      </c>
      <c r="L290" s="0" t="n">
        <v>0</v>
      </c>
      <c r="M290" s="128" t="n">
        <v>0</v>
      </c>
      <c r="N290" s="0" t="n">
        <v>0</v>
      </c>
      <c r="O290" s="55" t="n">
        <v>0.48</v>
      </c>
      <c r="P290" s="55" t="n">
        <v>0.02</v>
      </c>
    </row>
    <row r="291" customFormat="false" ht="12.75" hidden="false" customHeight="false" outlineLevel="0" collapsed="false">
      <c r="A291" s="128"/>
      <c r="B291" s="128"/>
      <c r="C291" s="126" t="e">
        <f aca="false">NextMonth(C290)</f>
        <v>#VALUE!</v>
      </c>
      <c r="D291" s="127" t="n">
        <v>0.0670610477710376</v>
      </c>
      <c r="E291" s="127" t="n">
        <v>4.99</v>
      </c>
      <c r="F291" s="127" t="n">
        <v>0.17</v>
      </c>
      <c r="K291" s="127" t="n">
        <v>0.02</v>
      </c>
      <c r="L291" s="0" t="n">
        <v>0</v>
      </c>
      <c r="M291" s="128" t="n">
        <v>0</v>
      </c>
      <c r="N291" s="0" t="n">
        <v>0</v>
      </c>
      <c r="O291" s="55" t="n">
        <v>0.42</v>
      </c>
      <c r="P291" s="55" t="n">
        <v>0.02</v>
      </c>
    </row>
    <row r="292" customFormat="false" ht="12.75" hidden="false" customHeight="false" outlineLevel="0" collapsed="false">
      <c r="A292" s="128"/>
      <c r="B292" s="128"/>
      <c r="C292" s="126" t="e">
        <f aca="false">NextMonth(C291)</f>
        <v>#VALUE!</v>
      </c>
      <c r="D292" s="127" t="n">
        <v>0.0670578649368263</v>
      </c>
      <c r="E292" s="127" t="n">
        <v>5.026</v>
      </c>
      <c r="F292" s="127" t="n">
        <v>0.17</v>
      </c>
      <c r="K292" s="127" t="n">
        <v>0.025</v>
      </c>
      <c r="L292" s="0" t="n">
        <v>0</v>
      </c>
      <c r="M292" s="128" t="n">
        <v>0</v>
      </c>
      <c r="N292" s="0" t="n">
        <v>0</v>
      </c>
      <c r="O292" s="55" t="n">
        <v>0.42</v>
      </c>
      <c r="P292" s="55" t="n">
        <v>0.035</v>
      </c>
    </row>
    <row r="293" customFormat="false" ht="12.75" hidden="false" customHeight="false" outlineLevel="0" collapsed="false">
      <c r="A293" s="128"/>
      <c r="B293" s="128"/>
      <c r="C293" s="126" t="e">
        <f aca="false">NextMonth(C292)</f>
        <v>#VALUE!</v>
      </c>
      <c r="D293" s="127" t="n">
        <v>0.0670547847746898</v>
      </c>
      <c r="E293" s="127" t="n">
        <v>5.071</v>
      </c>
      <c r="F293" s="127" t="n">
        <v>0.17</v>
      </c>
      <c r="K293" s="127" t="n">
        <v>0.0275</v>
      </c>
      <c r="L293" s="0" t="n">
        <v>0</v>
      </c>
      <c r="M293" s="128" t="n">
        <v>0</v>
      </c>
      <c r="N293" s="0" t="n">
        <v>0</v>
      </c>
      <c r="O293" s="55" t="n">
        <v>0.48</v>
      </c>
      <c r="P293" s="55" t="n">
        <v>0.035</v>
      </c>
    </row>
    <row r="294" customFormat="false" ht="12.75" hidden="false" customHeight="false" outlineLevel="0" collapsed="false">
      <c r="A294" s="128"/>
      <c r="B294" s="128"/>
      <c r="C294" s="126" t="e">
        <f aca="false">NextMonth(C293)</f>
        <v>#VALUE!</v>
      </c>
      <c r="D294" s="127" t="n">
        <v>0.0670516019404856</v>
      </c>
      <c r="E294" s="127" t="n">
        <v>5.119</v>
      </c>
      <c r="F294" s="127" t="n">
        <v>0.17</v>
      </c>
      <c r="K294" s="127" t="n">
        <v>0.03</v>
      </c>
      <c r="L294" s="0" t="n">
        <v>0</v>
      </c>
      <c r="M294" s="128" t="n">
        <v>0</v>
      </c>
      <c r="N294" s="0" t="n">
        <v>0</v>
      </c>
      <c r="O294" s="55" t="n">
        <v>0.48</v>
      </c>
      <c r="P294" s="55" t="n">
        <v>0.035</v>
      </c>
    </row>
    <row r="295" customFormat="false" ht="12.75" hidden="false" customHeight="false" outlineLevel="0" collapsed="false">
      <c r="A295" s="128"/>
      <c r="B295" s="128"/>
      <c r="C295" s="126" t="e">
        <f aca="false">NextMonth(C294)</f>
        <v>#VALUE!</v>
      </c>
      <c r="D295" s="127" t="n">
        <v>0.0670484191062846</v>
      </c>
      <c r="E295" s="127" t="n">
        <v>5.133</v>
      </c>
      <c r="F295" s="127" t="n">
        <v>0.17</v>
      </c>
      <c r="K295" s="127" t="n">
        <v>0.0225</v>
      </c>
      <c r="L295" s="0" t="n">
        <v>0</v>
      </c>
      <c r="M295" s="128" t="n">
        <v>0</v>
      </c>
      <c r="N295" s="0" t="n">
        <v>0</v>
      </c>
      <c r="O295" s="55" t="n">
        <v>0.44</v>
      </c>
      <c r="P295" s="55" t="n">
        <v>0.035</v>
      </c>
    </row>
    <row r="296" customFormat="false" ht="12.75" hidden="false" customHeight="false" outlineLevel="0" collapsed="false">
      <c r="A296" s="128"/>
      <c r="B296" s="128"/>
      <c r="C296" s="126" t="e">
        <f aca="false">NextMonth(C295)</f>
        <v>#VALUE!</v>
      </c>
      <c r="D296" s="127" t="n">
        <v>0.0670453389441574</v>
      </c>
      <c r="E296" s="127" t="n">
        <v>5.161</v>
      </c>
      <c r="F296" s="127" t="n">
        <v>0.17</v>
      </c>
      <c r="K296" s="127" t="n">
        <v>0.0125</v>
      </c>
      <c r="L296" s="0" t="n">
        <v>0</v>
      </c>
      <c r="M296" s="128" t="n">
        <v>0</v>
      </c>
      <c r="N296" s="0" t="n">
        <v>0</v>
      </c>
      <c r="O296" s="55" t="n">
        <v>0.45</v>
      </c>
      <c r="P296" s="55" t="n">
        <v>0.035</v>
      </c>
    </row>
    <row r="297" customFormat="false" ht="12.75" hidden="false" customHeight="false" outlineLevel="0" collapsed="false">
      <c r="A297" s="128"/>
      <c r="B297" s="128"/>
      <c r="C297" s="126" t="e">
        <f aca="false">NextMonth(C296)</f>
        <v>#VALUE!</v>
      </c>
      <c r="D297" s="127" t="n">
        <v>0.067042156109963</v>
      </c>
      <c r="E297" s="127" t="n">
        <v>5.296</v>
      </c>
      <c r="F297" s="127" t="n">
        <v>0.17</v>
      </c>
      <c r="K297" s="127" t="n">
        <v>-0.02</v>
      </c>
      <c r="L297" s="0" t="n">
        <v>0</v>
      </c>
      <c r="M297" s="128" t="n">
        <v>0</v>
      </c>
      <c r="N297" s="0" t="n">
        <v>0</v>
      </c>
      <c r="O297" s="55" t="n">
        <v>0.86</v>
      </c>
      <c r="P297" s="55" t="n">
        <v>0.1</v>
      </c>
    </row>
    <row r="298" customFormat="false" ht="12.75" hidden="false" customHeight="false" outlineLevel="0" collapsed="false">
      <c r="A298" s="128"/>
      <c r="B298" s="128"/>
      <c r="C298" s="126" t="e">
        <f aca="false">NextMonth(C297)</f>
        <v>#VALUE!</v>
      </c>
      <c r="D298" s="127" t="n">
        <v>0.0670390759478425</v>
      </c>
      <c r="E298" s="127" t="n">
        <v>5.431</v>
      </c>
      <c r="F298" s="127" t="n">
        <v>0.17</v>
      </c>
      <c r="K298" s="127" t="n">
        <v>-0.0425</v>
      </c>
      <c r="L298" s="0" t="n">
        <v>0</v>
      </c>
      <c r="M298" s="128" t="n">
        <v>0</v>
      </c>
      <c r="N298" s="0" t="n">
        <v>0</v>
      </c>
      <c r="O298" s="55" t="n">
        <v>1.28</v>
      </c>
      <c r="P298" s="55" t="n">
        <v>0.3</v>
      </c>
    </row>
    <row r="299" customFormat="false" ht="12.75" hidden="false" customHeight="false" outlineLevel="0" collapsed="false">
      <c r="A299" s="128"/>
      <c r="B299" s="128"/>
      <c r="C299" s="126" t="e">
        <f aca="false">NextMonth(C298)</f>
        <v>#VALUE!</v>
      </c>
      <c r="D299" s="127" t="n">
        <v>0.0670358931136548</v>
      </c>
      <c r="K299" s="127" t="n">
        <v>-0.045</v>
      </c>
      <c r="L299" s="0" t="n">
        <v>0</v>
      </c>
      <c r="M299" s="128" t="n">
        <v>0</v>
      </c>
      <c r="N299" s="0" t="n">
        <v>0</v>
      </c>
      <c r="O299" s="55" t="n">
        <v>1.61</v>
      </c>
      <c r="P299" s="55" t="n">
        <v>0.5</v>
      </c>
    </row>
    <row r="300" customFormat="false" ht="12.75" hidden="false" customHeight="false" outlineLevel="0" collapsed="false">
      <c r="A300" s="128"/>
      <c r="B300" s="128"/>
      <c r="C300" s="126" t="e">
        <f aca="false">NextMonth(C299)</f>
        <v>#VALUE!</v>
      </c>
      <c r="D300" s="127" t="n">
        <v>0.0670327102794701</v>
      </c>
      <c r="K300" s="127" t="n">
        <v>-0.0275</v>
      </c>
      <c r="L300" s="0" t="n">
        <v>0</v>
      </c>
      <c r="M300" s="128" t="n">
        <v>0</v>
      </c>
      <c r="N300" s="0" t="n">
        <v>0</v>
      </c>
      <c r="O300" s="55" t="n">
        <v>1.57</v>
      </c>
      <c r="P300" s="55" t="n">
        <v>0.5</v>
      </c>
    </row>
    <row r="301" customFormat="false" ht="12.75" hidden="false" customHeight="false" outlineLevel="0" collapsed="false">
      <c r="A301" s="128"/>
      <c r="B301" s="128"/>
      <c r="C301" s="126" t="e">
        <f aca="false">NextMonth(C300)</f>
        <v>#VALUE!</v>
      </c>
      <c r="D301" s="127" t="n">
        <v>0.0670298354615002</v>
      </c>
      <c r="K301" s="127" t="n">
        <v>-0.015</v>
      </c>
      <c r="L301" s="0" t="n">
        <v>0</v>
      </c>
      <c r="M301" s="128" t="n">
        <v>0</v>
      </c>
      <c r="N301" s="0" t="n">
        <v>0</v>
      </c>
      <c r="O301" s="55" t="n">
        <v>0.93</v>
      </c>
      <c r="P301" s="55" t="n">
        <v>0.1</v>
      </c>
    </row>
    <row r="302" customFormat="false" ht="12.75" hidden="false" customHeight="false" outlineLevel="0" collapsed="false">
      <c r="A302" s="128"/>
      <c r="B302" s="128"/>
      <c r="C302" s="126" t="e">
        <f aca="false">NextMonth(C301)</f>
        <v>#VALUE!</v>
      </c>
      <c r="D302" s="127" t="n">
        <v>0.0670266526273222</v>
      </c>
      <c r="K302" s="127" t="n">
        <v>0.02</v>
      </c>
      <c r="L302" s="0" t="n">
        <v>0</v>
      </c>
      <c r="M302" s="128" t="n">
        <v>0</v>
      </c>
      <c r="N302" s="0" t="n">
        <v>0</v>
      </c>
      <c r="O302" s="55" t="n">
        <v>0.48</v>
      </c>
      <c r="P302" s="55" t="n">
        <v>0.02</v>
      </c>
    </row>
    <row r="303" customFormat="false" ht="12.75" hidden="false" customHeight="false" outlineLevel="0" collapsed="false">
      <c r="A303" s="128"/>
      <c r="B303" s="128"/>
      <c r="C303" s="126" t="e">
        <f aca="false">NextMonth(C302)</f>
        <v>#VALUE!</v>
      </c>
      <c r="D303" s="127" t="n">
        <v>0.0670235724652173</v>
      </c>
      <c r="K303" s="127" t="n">
        <v>0.02</v>
      </c>
      <c r="L303" s="0" t="n">
        <v>0</v>
      </c>
      <c r="M303" s="128" t="n">
        <v>0</v>
      </c>
      <c r="N303" s="0" t="n">
        <v>0</v>
      </c>
      <c r="O303" s="55" t="n">
        <v>0.42</v>
      </c>
      <c r="P303" s="55" t="n">
        <v>0.02</v>
      </c>
    </row>
    <row r="304" customFormat="false" ht="12.75" hidden="false" customHeight="false" outlineLevel="0" collapsed="false">
      <c r="A304" s="128"/>
      <c r="B304" s="128"/>
      <c r="C304" s="126" t="e">
        <f aca="false">NextMonth(C303)</f>
        <v>#VALUE!</v>
      </c>
      <c r="D304" s="127" t="n">
        <v>0.067020389631046</v>
      </c>
      <c r="K304" s="127" t="n">
        <v>0.025</v>
      </c>
      <c r="L304" s="0" t="n">
        <v>0</v>
      </c>
      <c r="M304" s="128" t="n">
        <v>0</v>
      </c>
      <c r="N304" s="0" t="n">
        <v>0</v>
      </c>
      <c r="O304" s="55" t="n">
        <v>0.42</v>
      </c>
      <c r="P304" s="55" t="n">
        <v>0.035</v>
      </c>
    </row>
    <row r="305" customFormat="false" ht="12.75" hidden="false" customHeight="false" outlineLevel="0" collapsed="false">
      <c r="A305" s="128"/>
      <c r="B305" s="128"/>
      <c r="C305" s="126" t="e">
        <f aca="false">NextMonth(C304)</f>
        <v>#VALUE!</v>
      </c>
      <c r="D305" s="127" t="n">
        <v>0.0670173094689477</v>
      </c>
      <c r="K305" s="127" t="n">
        <v>0.0275</v>
      </c>
      <c r="L305" s="0" t="n">
        <v>0</v>
      </c>
      <c r="M305" s="128" t="n">
        <v>0</v>
      </c>
      <c r="N305" s="0" t="n">
        <v>0</v>
      </c>
      <c r="O305" s="55" t="n">
        <v>0.48</v>
      </c>
      <c r="P305" s="55" t="n">
        <v>0.035</v>
      </c>
    </row>
    <row r="306" customFormat="false" ht="12.75" hidden="false" customHeight="false" outlineLevel="0" collapsed="false">
      <c r="A306" s="128"/>
      <c r="B306" s="128"/>
      <c r="C306" s="126" t="e">
        <f aca="false">NextMonth(C305)</f>
        <v>#VALUE!</v>
      </c>
      <c r="D306" s="127" t="n">
        <v>0.0670141266347826</v>
      </c>
      <c r="K306" s="127" t="n">
        <v>0.03</v>
      </c>
      <c r="L306" s="0" t="n">
        <v>0</v>
      </c>
      <c r="M306" s="128" t="n">
        <v>0</v>
      </c>
      <c r="N306" s="0" t="n">
        <v>0</v>
      </c>
      <c r="O306" s="55" t="n">
        <v>0.48</v>
      </c>
      <c r="P306" s="55" t="n">
        <v>0.035</v>
      </c>
    </row>
    <row r="307" customFormat="false" ht="12.75" hidden="false" customHeight="false" outlineLevel="0" collapsed="false">
      <c r="A307" s="128"/>
      <c r="B307" s="128"/>
      <c r="C307" s="126" t="e">
        <f aca="false">NextMonth(C306)</f>
        <v>#VALUE!</v>
      </c>
      <c r="D307" s="127" t="n">
        <v>0.067010943800621</v>
      </c>
      <c r="K307" s="127" t="n">
        <v>0.0225</v>
      </c>
      <c r="L307" s="0" t="n">
        <v>0</v>
      </c>
      <c r="M307" s="128" t="n">
        <v>0</v>
      </c>
      <c r="N307" s="0" t="n">
        <v>0</v>
      </c>
      <c r="O307" s="55" t="n">
        <v>0.44</v>
      </c>
      <c r="P307" s="55" t="n">
        <v>0.035</v>
      </c>
    </row>
    <row r="308" customFormat="false" ht="12.75" hidden="false" customHeight="false" outlineLevel="0" collapsed="false">
      <c r="A308" s="128"/>
      <c r="B308" s="128"/>
      <c r="C308" s="126" t="e">
        <f aca="false">NextMonth(C307)</f>
        <v>#VALUE!</v>
      </c>
      <c r="D308" s="127" t="n">
        <v>0.0670078636385325</v>
      </c>
      <c r="K308" s="127" t="n">
        <v>0.0125</v>
      </c>
      <c r="L308" s="0" t="n">
        <v>0</v>
      </c>
      <c r="M308" s="128" t="n">
        <v>0</v>
      </c>
      <c r="N308" s="0" t="n">
        <v>0</v>
      </c>
      <c r="O308" s="55" t="n">
        <v>0.45</v>
      </c>
      <c r="P308" s="55" t="n">
        <v>0.035</v>
      </c>
    </row>
    <row r="309" customFormat="false" ht="12.75" hidden="false" customHeight="false" outlineLevel="0" collapsed="false">
      <c r="A309" s="128"/>
      <c r="B309" s="128"/>
      <c r="C309" s="126" t="e">
        <f aca="false">NextMonth(C308)</f>
        <v>#VALUE!</v>
      </c>
      <c r="D309" s="127" t="n">
        <v>0.0670046808043776</v>
      </c>
      <c r="K309" s="127" t="n">
        <v>-0.02</v>
      </c>
      <c r="L309" s="0" t="n">
        <v>0</v>
      </c>
      <c r="M309" s="128" t="n">
        <v>0</v>
      </c>
      <c r="N309" s="0" t="n">
        <v>0</v>
      </c>
      <c r="O309" s="55" t="n">
        <v>0.86</v>
      </c>
      <c r="P309" s="55" t="n">
        <v>0.1</v>
      </c>
    </row>
    <row r="310" customFormat="false" ht="12.75" hidden="false" customHeight="false" outlineLevel="0" collapsed="false">
      <c r="A310" s="128"/>
      <c r="B310" s="128"/>
      <c r="C310" s="126" t="e">
        <f aca="false">NextMonth(C309)</f>
        <v>#VALUE!</v>
      </c>
      <c r="D310" s="127" t="n">
        <v>0.0670016006422953</v>
      </c>
      <c r="K310" s="127" t="n">
        <v>-0.0425</v>
      </c>
      <c r="L310" s="0" t="n">
        <v>0</v>
      </c>
      <c r="M310" s="128" t="n">
        <v>0</v>
      </c>
      <c r="N310" s="0" t="n">
        <v>0</v>
      </c>
      <c r="O310" s="55" t="n">
        <v>1.28</v>
      </c>
      <c r="P310" s="55" t="n">
        <v>0.3</v>
      </c>
    </row>
    <row r="311" customFormat="false" ht="12.75" hidden="false" customHeight="false" outlineLevel="0" collapsed="false">
      <c r="A311" s="128"/>
      <c r="B311" s="128"/>
      <c r="C311" s="126" t="e">
        <f aca="false">NextMonth(C310)</f>
        <v>#VALUE!</v>
      </c>
      <c r="D311" s="127" t="n">
        <v>0.0669984178081466</v>
      </c>
      <c r="K311" s="127" t="n">
        <v>-0.045</v>
      </c>
      <c r="L311" s="0" t="n">
        <v>0</v>
      </c>
      <c r="M311" s="128" t="n">
        <v>0</v>
      </c>
      <c r="N311" s="0" t="n">
        <v>0</v>
      </c>
      <c r="O311" s="55" t="n">
        <v>1.61</v>
      </c>
      <c r="P311" s="55" t="n">
        <v>0.5</v>
      </c>
    </row>
    <row r="312" customFormat="false" ht="12.75" hidden="false" customHeight="false" outlineLevel="0" collapsed="false">
      <c r="A312" s="128"/>
      <c r="B312" s="128"/>
      <c r="C312" s="126" t="e">
        <f aca="false">NextMonth(C311)</f>
        <v>#VALUE!</v>
      </c>
      <c r="D312" s="127" t="n">
        <v>0.066995234974002</v>
      </c>
      <c r="K312" s="127" t="n">
        <v>-0.0275</v>
      </c>
      <c r="L312" s="0" t="n">
        <v>0</v>
      </c>
      <c r="M312" s="128" t="n">
        <v>0</v>
      </c>
      <c r="N312" s="0" t="n">
        <v>0</v>
      </c>
      <c r="O312" s="55" t="n">
        <v>1.57</v>
      </c>
      <c r="P312" s="55" t="n">
        <v>0.5</v>
      </c>
    </row>
    <row r="313" customFormat="false" ht="12.75" hidden="false" customHeight="false" outlineLevel="0" collapsed="false">
      <c r="A313" s="128"/>
      <c r="B313" s="128"/>
      <c r="C313" s="126" t="e">
        <f aca="false">NextMonth(C312)</f>
        <v>#VALUE!</v>
      </c>
      <c r="D313" s="127" t="n">
        <v>0.0669923601560671</v>
      </c>
      <c r="K313" s="127" t="n">
        <v>-0.015</v>
      </c>
      <c r="L313" s="0" t="n">
        <v>0</v>
      </c>
      <c r="M313" s="128" t="n">
        <v>0</v>
      </c>
      <c r="N313" s="0" t="n">
        <v>0</v>
      </c>
      <c r="O313" s="55" t="n">
        <v>0.93</v>
      </c>
      <c r="P313" s="55" t="n">
        <v>0.1</v>
      </c>
    </row>
    <row r="314" customFormat="false" ht="12.75" hidden="false" customHeight="false" outlineLevel="0" collapsed="false">
      <c r="A314" s="128"/>
      <c r="B314" s="128"/>
      <c r="C314" s="126" t="e">
        <f aca="false">NextMonth(C313)</f>
        <v>#VALUE!</v>
      </c>
      <c r="D314" s="127" t="n">
        <v>0.0669891773219287</v>
      </c>
      <c r="K314" s="127" t="n">
        <v>0.02</v>
      </c>
      <c r="L314" s="0" t="n">
        <v>0</v>
      </c>
      <c r="M314" s="128" t="n">
        <v>0</v>
      </c>
      <c r="N314" s="0" t="n">
        <v>0</v>
      </c>
      <c r="O314" s="55" t="n">
        <v>0.48</v>
      </c>
      <c r="P314" s="55" t="n">
        <v>0.02</v>
      </c>
    </row>
    <row r="315" customFormat="false" ht="12.75" hidden="false" customHeight="false" outlineLevel="0" collapsed="false">
      <c r="A315" s="128"/>
      <c r="B315" s="128"/>
      <c r="C315" s="126" t="e">
        <f aca="false">NextMonth(C314)</f>
        <v>#VALUE!</v>
      </c>
      <c r="D315" s="127" t="n">
        <v>0.0669860971598624</v>
      </c>
      <c r="K315" s="127" t="n">
        <v>0.02</v>
      </c>
      <c r="L315" s="0" t="n">
        <v>0</v>
      </c>
      <c r="M315" s="128" t="n">
        <v>0</v>
      </c>
      <c r="N315" s="0" t="n">
        <v>0</v>
      </c>
      <c r="O315" s="55" t="n">
        <v>0.42</v>
      </c>
      <c r="P315" s="55" t="n">
        <v>0.02</v>
      </c>
    </row>
    <row r="316" customFormat="false" ht="12.75" hidden="false" customHeight="false" outlineLevel="0" collapsed="false">
      <c r="A316" s="128"/>
      <c r="B316" s="128"/>
      <c r="C316" s="126" t="e">
        <f aca="false">NextMonth(C315)</f>
        <v>#VALUE!</v>
      </c>
      <c r="D316" s="127" t="n">
        <v>0.0669829143257306</v>
      </c>
      <c r="K316" s="127" t="n">
        <v>0.025</v>
      </c>
      <c r="L316" s="0" t="n">
        <v>0</v>
      </c>
      <c r="M316" s="128" t="n">
        <v>0</v>
      </c>
      <c r="N316" s="0" t="n">
        <v>0</v>
      </c>
      <c r="O316" s="55" t="n">
        <v>0.42</v>
      </c>
      <c r="P316" s="55" t="n">
        <v>0.035</v>
      </c>
    </row>
    <row r="317" customFormat="false" ht="12.75" hidden="false" customHeight="false" outlineLevel="0" collapsed="false">
      <c r="A317" s="128"/>
      <c r="B317" s="128"/>
      <c r="C317" s="126" t="e">
        <f aca="false">NextMonth(C316)</f>
        <v>#VALUE!</v>
      </c>
      <c r="D317" s="127" t="n">
        <v>0.0669798341636705</v>
      </c>
      <c r="K317" s="127" t="n">
        <v>0.0275</v>
      </c>
      <c r="L317" s="0" t="n">
        <v>0</v>
      </c>
      <c r="M317" s="128" t="n">
        <v>0</v>
      </c>
      <c r="N317" s="0" t="n">
        <v>0</v>
      </c>
      <c r="O317" s="55" t="n">
        <v>0.48</v>
      </c>
      <c r="P317" s="55" t="n">
        <v>0.035</v>
      </c>
    </row>
    <row r="318" customFormat="false" ht="12.75" hidden="false" customHeight="false" outlineLevel="0" collapsed="false">
      <c r="A318" s="128"/>
      <c r="B318" s="128"/>
      <c r="C318" s="126" t="e">
        <f aca="false">NextMonth(C317)</f>
        <v>#VALUE!</v>
      </c>
      <c r="D318" s="127" t="n">
        <v>0.0669766513295449</v>
      </c>
      <c r="K318" s="127" t="n">
        <v>0.03</v>
      </c>
      <c r="L318" s="0" t="n">
        <v>0</v>
      </c>
      <c r="M318" s="128" t="n">
        <v>0</v>
      </c>
      <c r="N318" s="0" t="n">
        <v>0</v>
      </c>
      <c r="O318" s="55" t="n">
        <v>0.48</v>
      </c>
      <c r="P318" s="55" t="n">
        <v>0.035</v>
      </c>
    </row>
    <row r="319" customFormat="false" ht="12.75" hidden="false" customHeight="false" outlineLevel="0" collapsed="false">
      <c r="A319" s="128"/>
      <c r="B319" s="128"/>
      <c r="C319" s="126" t="e">
        <f aca="false">NextMonth(C318)</f>
        <v>#VALUE!</v>
      </c>
      <c r="D319" s="127" t="n">
        <v>0.0669734684954228</v>
      </c>
      <c r="K319" s="127" t="n">
        <v>0.0225</v>
      </c>
      <c r="L319" s="0" t="n">
        <v>0</v>
      </c>
      <c r="M319" s="128" t="n">
        <v>0</v>
      </c>
      <c r="N319" s="0" t="n">
        <v>0</v>
      </c>
      <c r="O319" s="55" t="n">
        <v>0.44</v>
      </c>
      <c r="P319" s="55" t="n">
        <v>0.035</v>
      </c>
    </row>
    <row r="320" customFormat="false" ht="12.75" hidden="false" customHeight="false" outlineLevel="0" collapsed="false">
      <c r="A320" s="128"/>
      <c r="B320" s="128"/>
      <c r="C320" s="126" t="e">
        <f aca="false">NextMonth(C319)</f>
        <v>#VALUE!</v>
      </c>
      <c r="D320" s="127" t="n">
        <v>0.0669703883333725</v>
      </c>
      <c r="K320" s="127" t="n">
        <v>0.0125</v>
      </c>
      <c r="L320" s="0" t="n">
        <v>0</v>
      </c>
      <c r="M320" s="128" t="n">
        <v>0</v>
      </c>
      <c r="N320" s="0" t="n">
        <v>0</v>
      </c>
      <c r="O320" s="55" t="n">
        <v>0.45</v>
      </c>
      <c r="P320" s="55" t="n">
        <v>0.035</v>
      </c>
    </row>
    <row r="321" customFormat="false" ht="12.75" hidden="false" customHeight="false" outlineLevel="0" collapsed="false">
      <c r="A321" s="128"/>
      <c r="B321" s="128"/>
      <c r="C321" s="126" t="e">
        <f aca="false">NextMonth(C320)</f>
        <v>#VALUE!</v>
      </c>
      <c r="D321" s="127" t="n">
        <v>0.0669672054992572</v>
      </c>
      <c r="K321" s="127" t="n">
        <v>-0.02</v>
      </c>
      <c r="L321" s="0" t="n">
        <v>0</v>
      </c>
      <c r="M321" s="128" t="n">
        <v>0</v>
      </c>
      <c r="N321" s="0" t="n">
        <v>0</v>
      </c>
      <c r="O321" s="55" t="n">
        <v>0.86</v>
      </c>
      <c r="P321" s="55" t="n">
        <v>0.1</v>
      </c>
    </row>
    <row r="322" customFormat="false" ht="12.75" hidden="false" customHeight="false" outlineLevel="0" collapsed="false">
      <c r="A322" s="128"/>
      <c r="B322" s="128"/>
      <c r="C322" s="126" t="e">
        <f aca="false">NextMonth(C321)</f>
        <v>#VALUE!</v>
      </c>
      <c r="D322" s="127" t="n">
        <v>0.0669641253372131</v>
      </c>
      <c r="K322" s="127" t="n">
        <v>-0.0425</v>
      </c>
      <c r="L322" s="0" t="n">
        <v>0</v>
      </c>
      <c r="M322" s="128" t="n">
        <v>0</v>
      </c>
      <c r="N322" s="0" t="n">
        <v>0</v>
      </c>
      <c r="O322" s="55" t="n">
        <v>1.28</v>
      </c>
      <c r="P322" s="55" t="n">
        <v>0.3</v>
      </c>
    </row>
    <row r="323" customFormat="false" ht="12.75" hidden="false" customHeight="false" outlineLevel="0" collapsed="false">
      <c r="A323" s="128"/>
      <c r="B323" s="128"/>
      <c r="C323" s="126" t="e">
        <f aca="false">NextMonth(C322)</f>
        <v>#VALUE!</v>
      </c>
      <c r="D323" s="127" t="n">
        <v>0.0669609425031039</v>
      </c>
      <c r="K323" s="127" t="n">
        <v>-0.045</v>
      </c>
      <c r="L323" s="0" t="n">
        <v>0</v>
      </c>
      <c r="M323" s="128" t="n">
        <v>0</v>
      </c>
      <c r="N323" s="0" t="n">
        <v>0</v>
      </c>
      <c r="O323" s="55" t="n">
        <v>1.61</v>
      </c>
      <c r="P323" s="55" t="n">
        <v>0.5</v>
      </c>
    </row>
    <row r="324" customFormat="false" ht="12.75" hidden="false" customHeight="false" outlineLevel="0" collapsed="false">
      <c r="A324" s="128"/>
      <c r="B324" s="128"/>
      <c r="C324" s="126" t="e">
        <f aca="false">NextMonth(C323)</f>
        <v>#VALUE!</v>
      </c>
      <c r="D324" s="127" t="n">
        <v>0.0669577596689988</v>
      </c>
      <c r="K324" s="127" t="n">
        <v>-0.0275</v>
      </c>
      <c r="L324" s="0" t="n">
        <v>0</v>
      </c>
      <c r="M324" s="128" t="n">
        <v>0</v>
      </c>
      <c r="N324" s="0" t="n">
        <v>0</v>
      </c>
      <c r="O324" s="55" t="n">
        <v>1.57</v>
      </c>
      <c r="P324" s="55" t="n">
        <v>0.5</v>
      </c>
    </row>
    <row r="325" customFormat="false" ht="12.75" hidden="false" customHeight="false" outlineLevel="0" collapsed="false">
      <c r="A325" s="128"/>
      <c r="B325" s="128"/>
      <c r="C325" s="126" t="e">
        <f aca="false">NextMonth(C324)</f>
        <v>#VALUE!</v>
      </c>
      <c r="D325" s="127" t="n">
        <v>0.0669548848510995</v>
      </c>
      <c r="K325" s="127" t="n">
        <v>-0.015</v>
      </c>
      <c r="L325" s="0" t="n">
        <v>0</v>
      </c>
      <c r="M325" s="128" t="n">
        <v>0</v>
      </c>
      <c r="N325" s="0" t="n">
        <v>0</v>
      </c>
      <c r="O325" s="55" t="n">
        <v>0.93</v>
      </c>
      <c r="P325" s="55" t="n">
        <v>0.1</v>
      </c>
    </row>
    <row r="326" customFormat="false" ht="12.75" hidden="false" customHeight="false" outlineLevel="0" collapsed="false">
      <c r="A326" s="128"/>
      <c r="B326" s="128"/>
      <c r="C326" s="126" t="e">
        <f aca="false">NextMonth(C325)</f>
        <v>#VALUE!</v>
      </c>
      <c r="D326" s="127" t="n">
        <v>0.0669517020170005</v>
      </c>
      <c r="K326" s="127" t="n">
        <v>0.02</v>
      </c>
      <c r="L326" s="0" t="n">
        <v>0</v>
      </c>
      <c r="M326" s="128" t="n">
        <v>0</v>
      </c>
      <c r="N326" s="0" t="n">
        <v>0</v>
      </c>
      <c r="O326" s="55" t="n">
        <v>0.48</v>
      </c>
      <c r="P326" s="55" t="n">
        <v>0.02</v>
      </c>
    </row>
    <row r="327" customFormat="false" ht="12.75" hidden="false" customHeight="false" outlineLevel="0" collapsed="false">
      <c r="A327" s="128"/>
      <c r="B327" s="128"/>
      <c r="C327" s="126" t="e">
        <f aca="false">NextMonth(C326)</f>
        <v>#VALUE!</v>
      </c>
      <c r="D327" s="127" t="n">
        <v>0.066948621854972</v>
      </c>
      <c r="K327" s="127" t="n">
        <v>0.02</v>
      </c>
      <c r="L327" s="0" t="n">
        <v>0</v>
      </c>
      <c r="M327" s="128" t="n">
        <v>0</v>
      </c>
      <c r="N327" s="0" t="n">
        <v>0</v>
      </c>
      <c r="O327" s="55" t="n">
        <v>0.42</v>
      </c>
      <c r="P327" s="55" t="n">
        <v>0.02</v>
      </c>
    </row>
    <row r="328" customFormat="false" ht="12.75" hidden="false" customHeight="false" outlineLevel="0" collapsed="false">
      <c r="A328" s="128"/>
      <c r="B328" s="128"/>
      <c r="C328" s="126" t="e">
        <f aca="false">NextMonth(C327)</f>
        <v>#VALUE!</v>
      </c>
      <c r="D328" s="127" t="n">
        <v>0.0669454390208797</v>
      </c>
      <c r="K328" s="127" t="n">
        <v>0.025</v>
      </c>
      <c r="L328" s="0" t="n">
        <v>0</v>
      </c>
      <c r="M328" s="128" t="n">
        <v>0</v>
      </c>
      <c r="N328" s="0" t="n">
        <v>0</v>
      </c>
      <c r="O328" s="55" t="n">
        <v>0.42</v>
      </c>
      <c r="P328" s="55" t="n">
        <v>0.035</v>
      </c>
    </row>
    <row r="329" customFormat="false" ht="12.75" hidden="false" customHeight="false" outlineLevel="0" collapsed="false">
      <c r="A329" s="128"/>
      <c r="B329" s="128"/>
      <c r="C329" s="126" t="e">
        <f aca="false">NextMonth(C328)</f>
        <v>#VALUE!</v>
      </c>
      <c r="D329" s="127" t="n">
        <v>0.0669423588588578</v>
      </c>
      <c r="K329" s="127" t="n">
        <v>0.0275</v>
      </c>
      <c r="L329" s="0" t="n">
        <v>0</v>
      </c>
      <c r="M329" s="128" t="n">
        <v>0</v>
      </c>
      <c r="N329" s="0" t="n">
        <v>0</v>
      </c>
      <c r="O329" s="55" t="n">
        <v>0.48</v>
      </c>
      <c r="P329" s="55" t="n">
        <v>0.035</v>
      </c>
    </row>
    <row r="330" customFormat="false" ht="12.75" hidden="false" customHeight="false" outlineLevel="0" collapsed="false">
      <c r="A330" s="128"/>
      <c r="B330" s="128"/>
      <c r="C330" s="126" t="e">
        <f aca="false">NextMonth(C329)</f>
        <v>#VALUE!</v>
      </c>
      <c r="D330" s="127" t="n">
        <v>0.0669391760247717</v>
      </c>
      <c r="K330" s="127" t="n">
        <v>0.03</v>
      </c>
      <c r="L330" s="0" t="n">
        <v>0</v>
      </c>
      <c r="M330" s="128" t="n">
        <v>0</v>
      </c>
      <c r="N330" s="0" t="n">
        <v>0</v>
      </c>
      <c r="O330" s="55" t="n">
        <v>0.48</v>
      </c>
      <c r="P330" s="55" t="n">
        <v>0.035</v>
      </c>
    </row>
    <row r="331" customFormat="false" ht="12.75" hidden="false" customHeight="false" outlineLevel="0" collapsed="false">
      <c r="A331" s="128"/>
      <c r="B331" s="128"/>
      <c r="C331" s="126" t="e">
        <f aca="false">NextMonth(C330)</f>
        <v>#VALUE!</v>
      </c>
      <c r="D331" s="127" t="n">
        <v>0.0669359931906892</v>
      </c>
      <c r="K331" s="127" t="n">
        <v>0.0225</v>
      </c>
      <c r="L331" s="0" t="n">
        <v>0</v>
      </c>
      <c r="M331" s="128" t="n">
        <v>0</v>
      </c>
      <c r="N331" s="0" t="n">
        <v>0</v>
      </c>
      <c r="O331" s="55" t="n">
        <v>0.44</v>
      </c>
      <c r="P331" s="55" t="n">
        <v>0.035</v>
      </c>
    </row>
    <row r="332" customFormat="false" ht="12.75" hidden="false" customHeight="false" outlineLevel="0" collapsed="false">
      <c r="A332" s="128"/>
      <c r="B332" s="128"/>
      <c r="C332" s="126" t="e">
        <f aca="false">NextMonth(C331)</f>
        <v>#VALUE!</v>
      </c>
      <c r="D332" s="127" t="n">
        <v>0.0669329130286771</v>
      </c>
      <c r="K332" s="127" t="n">
        <v>0.0125</v>
      </c>
      <c r="L332" s="0" t="n">
        <v>0</v>
      </c>
      <c r="M332" s="128" t="n">
        <v>0</v>
      </c>
      <c r="N332" s="0" t="n">
        <v>0</v>
      </c>
      <c r="O332" s="55" t="n">
        <v>0.45</v>
      </c>
      <c r="P332" s="55" t="n">
        <v>0.035</v>
      </c>
    </row>
    <row r="333" customFormat="false" ht="12.75" hidden="false" customHeight="false" outlineLevel="0" collapsed="false">
      <c r="A333" s="128"/>
      <c r="B333" s="128"/>
      <c r="C333" s="126" t="e">
        <f aca="false">NextMonth(C332)</f>
        <v>#VALUE!</v>
      </c>
      <c r="D333" s="127" t="n">
        <v>0.0669297301946017</v>
      </c>
      <c r="K333" s="127" t="n">
        <v>-0.02</v>
      </c>
      <c r="L333" s="0" t="n">
        <v>0</v>
      </c>
      <c r="M333" s="128" t="n">
        <v>0</v>
      </c>
      <c r="N333" s="0" t="n">
        <v>0</v>
      </c>
      <c r="O333" s="55" t="n">
        <v>0.86</v>
      </c>
      <c r="P333" s="55" t="n">
        <v>0.1</v>
      </c>
    </row>
    <row r="334" customFormat="false" ht="12.75" hidden="false" customHeight="false" outlineLevel="0" collapsed="false">
      <c r="A334" s="128"/>
      <c r="B334" s="128"/>
      <c r="C334" s="126" t="e">
        <f aca="false">NextMonth(C333)</f>
        <v>#VALUE!</v>
      </c>
      <c r="D334" s="127" t="n">
        <v>0.0669266500325958</v>
      </c>
      <c r="K334" s="127" t="n">
        <v>-0.0425</v>
      </c>
      <c r="L334" s="0" t="n">
        <v>0</v>
      </c>
      <c r="M334" s="128" t="n">
        <v>0</v>
      </c>
      <c r="N334" s="0" t="n">
        <v>0</v>
      </c>
      <c r="O334" s="55" t="n">
        <v>1.28</v>
      </c>
      <c r="P334" s="55" t="n">
        <v>0.3</v>
      </c>
    </row>
    <row r="335" customFormat="false" ht="12.75" hidden="false" customHeight="false" outlineLevel="0" collapsed="false">
      <c r="A335" s="128"/>
      <c r="B335" s="128"/>
      <c r="C335" s="126" t="e">
        <f aca="false">NextMonth(C334)</f>
        <v>#VALUE!</v>
      </c>
      <c r="D335" s="127" t="n">
        <v>0.0669234671985262</v>
      </c>
      <c r="K335" s="127" t="n">
        <v>-0.045</v>
      </c>
      <c r="L335" s="0" t="n">
        <v>0</v>
      </c>
      <c r="M335" s="128" t="n">
        <v>0</v>
      </c>
      <c r="N335" s="0" t="n">
        <v>0</v>
      </c>
      <c r="O335" s="55" t="n">
        <v>1.61</v>
      </c>
      <c r="P335" s="55" t="n">
        <v>0.5</v>
      </c>
    </row>
    <row r="336" customFormat="false" ht="12.75" hidden="false" customHeight="false" outlineLevel="0" collapsed="false">
      <c r="A336" s="128"/>
      <c r="B336" s="128"/>
      <c r="C336" s="126" t="e">
        <f aca="false">NextMonth(C335)</f>
        <v>#VALUE!</v>
      </c>
      <c r="D336" s="127" t="n">
        <v>0.0669202843644605</v>
      </c>
      <c r="K336" s="127" t="n">
        <v>-0.0275</v>
      </c>
      <c r="L336" s="0" t="n">
        <v>0</v>
      </c>
      <c r="M336" s="128" t="n">
        <v>0</v>
      </c>
      <c r="N336" s="0" t="n">
        <v>0</v>
      </c>
      <c r="O336" s="55" t="n">
        <v>1.57</v>
      </c>
      <c r="P336" s="55" t="n">
        <v>0.5</v>
      </c>
    </row>
    <row r="337" customFormat="false" ht="12.75" hidden="false" customHeight="false" outlineLevel="0" collapsed="false">
      <c r="A337" s="128"/>
      <c r="B337" s="128"/>
      <c r="C337" s="126" t="e">
        <f aca="false">NextMonth(C336)</f>
        <v>#VALUE!</v>
      </c>
      <c r="D337" s="127" t="n">
        <v>0.0669173068745308</v>
      </c>
      <c r="K337" s="127" t="n">
        <v>-0.015</v>
      </c>
      <c r="L337" s="0" t="n">
        <v>0</v>
      </c>
      <c r="M337" s="128" t="n">
        <v>0</v>
      </c>
      <c r="N337" s="0" t="n">
        <v>0</v>
      </c>
      <c r="O337" s="55" t="n">
        <v>0.93</v>
      </c>
      <c r="P337" s="55" t="n">
        <v>0.1</v>
      </c>
    </row>
    <row r="338" customFormat="false" ht="12.75" hidden="false" customHeight="false" outlineLevel="0" collapsed="false">
      <c r="A338" s="128"/>
      <c r="B338" s="128"/>
      <c r="C338" s="126" t="e">
        <f aca="false">NextMonth(C337)</f>
        <v>#VALUE!</v>
      </c>
      <c r="D338" s="127" t="n">
        <v>0.0669141240404709</v>
      </c>
      <c r="K338" s="127" t="n">
        <v>0.02</v>
      </c>
      <c r="L338" s="0" t="n">
        <v>0</v>
      </c>
      <c r="M338" s="128" t="n">
        <v>0</v>
      </c>
      <c r="N338" s="0" t="n">
        <v>0</v>
      </c>
      <c r="O338" s="55" t="n">
        <v>0.48</v>
      </c>
      <c r="P338" s="55" t="n">
        <v>0.02</v>
      </c>
    </row>
    <row r="339" customFormat="false" ht="12.75" hidden="false" customHeight="false" outlineLevel="0" collapsed="false">
      <c r="A339" s="128"/>
      <c r="B339" s="128"/>
      <c r="C339" s="126" t="e">
        <f aca="false">NextMonth(C338)</f>
        <v>#VALUE!</v>
      </c>
      <c r="D339" s="127" t="n">
        <v>0.066911043878481</v>
      </c>
      <c r="K339" s="127" t="n">
        <v>0.02</v>
      </c>
      <c r="L339" s="0" t="n">
        <v>0</v>
      </c>
      <c r="M339" s="128" t="n">
        <v>0</v>
      </c>
      <c r="N339" s="0" t="n">
        <v>0</v>
      </c>
      <c r="O339" s="55" t="n">
        <v>0.42</v>
      </c>
      <c r="P339" s="55" t="n">
        <v>0.02</v>
      </c>
    </row>
    <row r="340" customFormat="false" ht="12.75" hidden="false" customHeight="false" outlineLevel="0" collapsed="false">
      <c r="A340" s="128"/>
      <c r="B340" s="128"/>
      <c r="C340" s="126" t="e">
        <f aca="false">NextMonth(C339)</f>
        <v>#VALUE!</v>
      </c>
      <c r="D340" s="127" t="n">
        <v>0.0669078610444282</v>
      </c>
      <c r="K340" s="127" t="n">
        <v>0.025</v>
      </c>
      <c r="L340" s="0" t="n">
        <v>0</v>
      </c>
      <c r="M340" s="128" t="n">
        <v>0</v>
      </c>
      <c r="N340" s="0" t="n">
        <v>0</v>
      </c>
      <c r="O340" s="55" t="n">
        <v>0.42</v>
      </c>
      <c r="P340" s="55" t="n">
        <v>0.035</v>
      </c>
    </row>
    <row r="341" customFormat="false" ht="12.75" hidden="false" customHeight="false" outlineLevel="0" collapsed="false">
      <c r="A341" s="128"/>
      <c r="B341" s="128"/>
      <c r="C341" s="126" t="e">
        <f aca="false">NextMonth(C340)</f>
        <v>#VALUE!</v>
      </c>
      <c r="D341" s="127" t="n">
        <v>0.0669047808824446</v>
      </c>
      <c r="K341" s="127" t="n">
        <v>0.0275</v>
      </c>
      <c r="L341" s="0" t="n">
        <v>0</v>
      </c>
      <c r="M341" s="128" t="n">
        <v>0</v>
      </c>
      <c r="N341" s="0" t="n">
        <v>0</v>
      </c>
      <c r="O341" s="55" t="n">
        <v>0.48</v>
      </c>
      <c r="P341" s="55" t="n">
        <v>0.035</v>
      </c>
    </row>
    <row r="342" customFormat="false" ht="12.75" hidden="false" customHeight="false" outlineLevel="0" collapsed="false">
      <c r="A342" s="128"/>
      <c r="B342" s="128"/>
      <c r="C342" s="126" t="e">
        <f aca="false">NextMonth(C341)</f>
        <v>#VALUE!</v>
      </c>
      <c r="D342" s="127" t="n">
        <v>0.0669015980483985</v>
      </c>
      <c r="K342" s="127" t="n">
        <v>0.03</v>
      </c>
      <c r="L342" s="0" t="n">
        <v>0</v>
      </c>
      <c r="M342" s="128" t="n">
        <v>0</v>
      </c>
      <c r="N342" s="0" t="n">
        <v>0</v>
      </c>
      <c r="O342" s="55" t="n">
        <v>0.48</v>
      </c>
      <c r="P342" s="55" t="n">
        <v>0.035</v>
      </c>
    </row>
    <row r="343" customFormat="false" ht="12.75" hidden="false" customHeight="false" outlineLevel="0" collapsed="false">
      <c r="A343" s="128"/>
      <c r="B343" s="128"/>
      <c r="C343" s="126" t="e">
        <f aca="false">NextMonth(C342)</f>
        <v>#VALUE!</v>
      </c>
      <c r="D343" s="127" t="n">
        <v>0.0668984152143555</v>
      </c>
      <c r="K343" s="127" t="n">
        <v>0.0225</v>
      </c>
      <c r="L343" s="0" t="n">
        <v>0</v>
      </c>
      <c r="M343" s="128" t="n">
        <v>0</v>
      </c>
      <c r="N343" s="0" t="n">
        <v>0</v>
      </c>
      <c r="O343" s="55" t="n">
        <v>0.44</v>
      </c>
      <c r="P343" s="55" t="n">
        <v>0.035</v>
      </c>
    </row>
    <row r="344" customFormat="false" ht="12.75" hidden="false" customHeight="false" outlineLevel="0" collapsed="false">
      <c r="A344" s="128"/>
      <c r="B344" s="128"/>
      <c r="C344" s="126" t="e">
        <f aca="false">NextMonth(C343)</f>
        <v>#VALUE!</v>
      </c>
      <c r="D344" s="127" t="n">
        <v>0.0668953350523815</v>
      </c>
      <c r="K344" s="127" t="n">
        <v>0.0125</v>
      </c>
      <c r="L344" s="0" t="n">
        <v>0</v>
      </c>
      <c r="M344" s="128" t="n">
        <v>0</v>
      </c>
      <c r="N344" s="0" t="n">
        <v>0</v>
      </c>
      <c r="O344" s="55" t="n">
        <v>0.45</v>
      </c>
      <c r="P344" s="55" t="n">
        <v>0.035</v>
      </c>
    </row>
    <row r="345" customFormat="false" ht="12.75" hidden="false" customHeight="false" outlineLevel="0" collapsed="false">
      <c r="A345" s="128"/>
      <c r="B345" s="128"/>
      <c r="C345" s="126" t="e">
        <f aca="false">NextMonth(C344)</f>
        <v>#VALUE!</v>
      </c>
      <c r="D345" s="127" t="n">
        <v>0.0668921522183452</v>
      </c>
      <c r="K345" s="127" t="n">
        <v>-0.02</v>
      </c>
      <c r="L345" s="0" t="n">
        <v>0</v>
      </c>
      <c r="M345" s="128" t="n">
        <v>0</v>
      </c>
      <c r="N345" s="0" t="n">
        <v>0</v>
      </c>
      <c r="O345" s="55" t="n">
        <v>0.86</v>
      </c>
      <c r="P345" s="55" t="n">
        <v>0.1</v>
      </c>
    </row>
    <row r="346" customFormat="false" ht="12.75" hidden="false" customHeight="false" outlineLevel="0" collapsed="false">
      <c r="A346" s="128"/>
      <c r="B346" s="128"/>
      <c r="C346" s="126" t="e">
        <f aca="false">NextMonth(C345)</f>
        <v>#VALUE!</v>
      </c>
      <c r="D346" s="127" t="n">
        <v>0.0668890720563775</v>
      </c>
      <c r="K346" s="127" t="n">
        <v>-0.0425</v>
      </c>
      <c r="L346" s="0" t="n">
        <v>0</v>
      </c>
      <c r="M346" s="128" t="n">
        <v>0</v>
      </c>
      <c r="N346" s="0" t="n">
        <v>0</v>
      </c>
      <c r="O346" s="55" t="n">
        <v>1.28</v>
      </c>
      <c r="P346" s="55" t="n">
        <v>0.3</v>
      </c>
    </row>
    <row r="347" customFormat="false" ht="12.75" hidden="false" customHeight="false" outlineLevel="0" collapsed="false">
      <c r="A347" s="128"/>
      <c r="B347" s="128"/>
      <c r="C347" s="126" t="e">
        <f aca="false">NextMonth(C346)</f>
        <v>#VALUE!</v>
      </c>
      <c r="D347" s="127" t="n">
        <v>0.0668858892223478</v>
      </c>
      <c r="K347" s="127" t="n">
        <v>-0.045</v>
      </c>
      <c r="L347" s="0" t="n">
        <v>0</v>
      </c>
      <c r="M347" s="128" t="n">
        <v>0</v>
      </c>
      <c r="N347" s="0" t="n">
        <v>0</v>
      </c>
      <c r="O347" s="55" t="n">
        <v>1.61</v>
      </c>
      <c r="P347" s="55" t="n">
        <v>0.5</v>
      </c>
    </row>
    <row r="348" customFormat="false" ht="12.75" hidden="false" customHeight="false" outlineLevel="0" collapsed="false">
      <c r="A348" s="128"/>
      <c r="B348" s="128"/>
      <c r="C348" s="126" t="e">
        <f aca="false">NextMonth(C347)</f>
        <v>#VALUE!</v>
      </c>
      <c r="D348" s="127" t="n">
        <v>0.0668827063883217</v>
      </c>
      <c r="K348" s="127" t="n">
        <v>-0.0275</v>
      </c>
      <c r="L348" s="0" t="n">
        <v>0</v>
      </c>
      <c r="M348" s="128" t="n">
        <v>0</v>
      </c>
      <c r="N348" s="0" t="n">
        <v>0</v>
      </c>
      <c r="O348" s="55" t="n">
        <v>1.57</v>
      </c>
      <c r="P348" s="55" t="n">
        <v>0.5</v>
      </c>
    </row>
    <row r="349" customFormat="false" ht="12.75" hidden="false" customHeight="false" outlineLevel="0" collapsed="false">
      <c r="A349" s="128"/>
      <c r="B349" s="128"/>
      <c r="C349" s="126" t="e">
        <f aca="false">NextMonth(C348)</f>
        <v>#VALUE!</v>
      </c>
      <c r="D349" s="127" t="n">
        <v>0.0668798315704944</v>
      </c>
      <c r="K349" s="127" t="n">
        <v>-0.015</v>
      </c>
      <c r="L349" s="0" t="n">
        <v>0</v>
      </c>
      <c r="M349" s="128" t="n">
        <v>0</v>
      </c>
      <c r="N349" s="0" t="n">
        <v>0</v>
      </c>
      <c r="O349" s="55" t="n">
        <v>0.93</v>
      </c>
      <c r="P349" s="55" t="n">
        <v>0.1</v>
      </c>
    </row>
    <row r="350" customFormat="false" ht="12.75" hidden="false" customHeight="false" outlineLevel="0" collapsed="false">
      <c r="A350" s="128"/>
      <c r="B350" s="128"/>
      <c r="C350" s="126" t="e">
        <f aca="false">NextMonth(C349)</f>
        <v>#VALUE!</v>
      </c>
      <c r="D350" s="127" t="n">
        <v>0.0668766487364745</v>
      </c>
      <c r="K350" s="127" t="n">
        <v>0.02</v>
      </c>
      <c r="L350" s="0" t="n">
        <v>0</v>
      </c>
      <c r="M350" s="128" t="n">
        <v>0</v>
      </c>
      <c r="N350" s="0" t="n">
        <v>0</v>
      </c>
      <c r="O350" s="55" t="n">
        <v>0.48</v>
      </c>
      <c r="P350" s="55" t="n">
        <v>0.02</v>
      </c>
    </row>
    <row r="351" customFormat="false" ht="12.75" hidden="false" customHeight="false" outlineLevel="0" collapsed="false">
      <c r="A351" s="128"/>
      <c r="B351" s="128"/>
      <c r="C351" s="126" t="e">
        <f aca="false">NextMonth(C350)</f>
        <v>#VALUE!</v>
      </c>
      <c r="D351" s="127" t="n">
        <v>0.0668735685745228</v>
      </c>
      <c r="K351" s="127" t="n">
        <v>0.02</v>
      </c>
      <c r="L351" s="0" t="n">
        <v>0</v>
      </c>
      <c r="M351" s="128" t="n">
        <v>0</v>
      </c>
      <c r="N351" s="0" t="n">
        <v>0</v>
      </c>
      <c r="O351" s="55" t="n">
        <v>0.42</v>
      </c>
      <c r="P351" s="55" t="n">
        <v>0.02</v>
      </c>
    </row>
    <row r="352" customFormat="false" ht="12.75" hidden="false" customHeight="false" outlineLevel="0" collapsed="false">
      <c r="A352" s="128"/>
      <c r="B352" s="128"/>
      <c r="C352" s="126" t="e">
        <f aca="false">NextMonth(C351)</f>
        <v>#VALUE!</v>
      </c>
      <c r="D352" s="127" t="n">
        <v>0.0668703857405091</v>
      </c>
      <c r="K352" s="127" t="n">
        <v>0.025</v>
      </c>
      <c r="L352" s="0" t="n">
        <v>0</v>
      </c>
      <c r="M352" s="128" t="n">
        <v>0</v>
      </c>
      <c r="N352" s="0" t="n">
        <v>0</v>
      </c>
      <c r="O352" s="55" t="n">
        <v>0.42</v>
      </c>
      <c r="P352" s="55" t="n">
        <v>0.035</v>
      </c>
    </row>
    <row r="353" customFormat="false" ht="12.75" hidden="false" customHeight="false" outlineLevel="0" collapsed="false">
      <c r="A353" s="128"/>
      <c r="B353" s="128"/>
      <c r="C353" s="126" t="e">
        <f aca="false">NextMonth(C352)</f>
        <v>#VALUE!</v>
      </c>
      <c r="D353" s="127" t="n">
        <v>0.066867305578564</v>
      </c>
      <c r="K353" s="127" t="n">
        <v>0.0275</v>
      </c>
      <c r="L353" s="0" t="n">
        <v>0</v>
      </c>
      <c r="M353" s="128" t="n">
        <v>0</v>
      </c>
      <c r="N353" s="0" t="n">
        <v>0</v>
      </c>
      <c r="O353" s="55" t="n">
        <v>0.48</v>
      </c>
      <c r="P353" s="55" t="n">
        <v>0.035</v>
      </c>
    </row>
    <row r="354" customFormat="false" ht="12.75" hidden="false" customHeight="false" outlineLevel="0" collapsed="false">
      <c r="A354" s="128"/>
      <c r="B354" s="128"/>
      <c r="C354" s="126" t="e">
        <f aca="false">NextMonth(C353)</f>
        <v>#VALUE!</v>
      </c>
      <c r="D354" s="127" t="n">
        <v>0.066864122744557</v>
      </c>
      <c r="K354" s="127" t="n">
        <v>0.03</v>
      </c>
      <c r="L354" s="0" t="n">
        <v>0</v>
      </c>
      <c r="M354" s="128" t="n">
        <v>0</v>
      </c>
      <c r="N354" s="0" t="n">
        <v>0</v>
      </c>
      <c r="O354" s="55" t="n">
        <v>0.48</v>
      </c>
      <c r="P354" s="55" t="n">
        <v>0.035</v>
      </c>
    </row>
    <row r="355" customFormat="false" ht="12.75" hidden="false" customHeight="false" outlineLevel="0" collapsed="false">
      <c r="A355" s="128"/>
      <c r="B355" s="128"/>
      <c r="C355" s="126" t="e">
        <f aca="false">NextMonth(C354)</f>
        <v>#VALUE!</v>
      </c>
      <c r="D355" s="127" t="n">
        <v>0.0668609399105535</v>
      </c>
      <c r="K355" s="127" t="n">
        <v>0.0225</v>
      </c>
      <c r="L355" s="0" t="n">
        <v>0</v>
      </c>
      <c r="M355" s="128" t="n">
        <v>0</v>
      </c>
      <c r="N355" s="0" t="n">
        <v>0</v>
      </c>
      <c r="O355" s="55" t="n">
        <v>0.44</v>
      </c>
      <c r="P355" s="55" t="n">
        <v>0.035</v>
      </c>
    </row>
    <row r="356" customFormat="false" ht="12.75" hidden="false" customHeight="false" outlineLevel="0" collapsed="false">
      <c r="A356" s="128"/>
      <c r="B356" s="128"/>
      <c r="C356" s="126" t="e">
        <f aca="false">NextMonth(C355)</f>
        <v>#VALUE!</v>
      </c>
      <c r="D356" s="127" t="n">
        <v>0.0668578597486182</v>
      </c>
      <c r="K356" s="127" t="n">
        <v>0.0125</v>
      </c>
      <c r="L356" s="0" t="n">
        <v>0</v>
      </c>
      <c r="M356" s="128" t="n">
        <v>0</v>
      </c>
      <c r="N356" s="0" t="n">
        <v>0</v>
      </c>
      <c r="O356" s="55" t="n">
        <v>0.45</v>
      </c>
      <c r="P356" s="55" t="n">
        <v>0.035</v>
      </c>
    </row>
    <row r="357" customFormat="false" ht="12.75" hidden="false" customHeight="false" outlineLevel="0" collapsed="false">
      <c r="A357" s="128"/>
      <c r="B357" s="128"/>
      <c r="C357" s="126" t="e">
        <f aca="false">NextMonth(C356)</f>
        <v>#VALUE!</v>
      </c>
      <c r="D357" s="127" t="n">
        <v>0.066854676914621</v>
      </c>
      <c r="K357" s="127" t="n">
        <v>-0.02</v>
      </c>
      <c r="L357" s="0" t="n">
        <v>0</v>
      </c>
      <c r="M357" s="128" t="n">
        <v>0</v>
      </c>
      <c r="N357" s="0" t="n">
        <v>0</v>
      </c>
      <c r="O357" s="55" t="n">
        <v>0.86</v>
      </c>
      <c r="P357" s="55" t="n">
        <v>0.1</v>
      </c>
    </row>
    <row r="358" customFormat="false" ht="12.75" hidden="false" customHeight="false" outlineLevel="0" collapsed="false">
      <c r="A358" s="128"/>
      <c r="B358" s="128"/>
      <c r="C358" s="126" t="e">
        <f aca="false">NextMonth(C357)</f>
        <v>#VALUE!</v>
      </c>
      <c r="D358" s="127" t="n">
        <v>0.0668515967526919</v>
      </c>
      <c r="K358" s="127" t="n">
        <v>-0.0425</v>
      </c>
      <c r="L358" s="0" t="n">
        <v>0</v>
      </c>
      <c r="M358" s="128" t="n">
        <v>0</v>
      </c>
      <c r="N358" s="0" t="n">
        <v>0</v>
      </c>
      <c r="O358" s="55" t="n">
        <v>1.28</v>
      </c>
      <c r="P358" s="55" t="n">
        <v>0.3</v>
      </c>
    </row>
    <row r="359" customFormat="false" ht="12.75" hidden="false" customHeight="false" outlineLevel="0" collapsed="false">
      <c r="A359" s="128"/>
      <c r="B359" s="128"/>
      <c r="C359" s="126" t="e">
        <f aca="false">NextMonth(C358)</f>
        <v>#VALUE!</v>
      </c>
      <c r="D359" s="127" t="n">
        <v>0.0668484139187018</v>
      </c>
    </row>
    <row r="360" customFormat="false" ht="12.75" hidden="false" customHeight="false" outlineLevel="0" collapsed="false">
      <c r="A360" s="128"/>
      <c r="B360" s="128"/>
      <c r="C360" s="126" t="e">
        <f aca="false">NextMonth(C359)</f>
        <v>#VALUE!</v>
      </c>
      <c r="D360" s="127" t="n">
        <v>0.0668452310847147</v>
      </c>
    </row>
    <row r="361" customFormat="false" ht="12.75" hidden="false" customHeight="false" outlineLevel="0" collapsed="false">
      <c r="A361" s="128"/>
      <c r="B361" s="128"/>
      <c r="C361" s="126" t="e">
        <f aca="false">NextMonth(C360)</f>
        <v>#VALUE!</v>
      </c>
      <c r="D361" s="127" t="n">
        <v>0.0668423562669229</v>
      </c>
    </row>
    <row r="362" customFormat="false" ht="12.75" hidden="false" customHeight="false" outlineLevel="0" collapsed="false">
      <c r="A362" s="128"/>
      <c r="B362" s="128"/>
      <c r="C362" s="126" t="e">
        <f aca="false">NextMonth(C361)</f>
        <v>#VALUE!</v>
      </c>
      <c r="D362" s="127" t="n">
        <v>0.0668391734329425</v>
      </c>
    </row>
    <row r="363" customFormat="false" ht="12.75" hidden="false" customHeight="false" outlineLevel="0" collapsed="false">
      <c r="A363" s="128"/>
      <c r="B363" s="128"/>
      <c r="C363" s="126" t="e">
        <f aca="false">NextMonth(C362)</f>
        <v>#VALUE!</v>
      </c>
      <c r="D363" s="127" t="n">
        <v>0.066836093271029</v>
      </c>
    </row>
    <row r="364" customFormat="false" ht="12.75" hidden="false" customHeight="false" outlineLevel="0" collapsed="false">
      <c r="A364" s="128"/>
      <c r="B364" s="128"/>
      <c r="C364" s="126" t="e">
        <f aca="false">NextMonth(C363)</f>
        <v>#VALUE!</v>
      </c>
      <c r="D364" s="127" t="n">
        <v>0.0668329104370549</v>
      </c>
    </row>
    <row r="365" customFormat="false" ht="12.75" hidden="false" customHeight="false" outlineLevel="0" collapsed="false">
      <c r="A365" s="128"/>
      <c r="B365" s="128"/>
      <c r="C365" s="126" t="e">
        <f aca="false">NextMonth(C364)</f>
        <v>#VALUE!</v>
      </c>
      <c r="D365" s="127" t="n">
        <v>0.0668298302751484</v>
      </c>
    </row>
    <row r="366" customFormat="false" ht="12.75" hidden="false" customHeight="false" outlineLevel="0" collapsed="false">
      <c r="A366" s="128"/>
      <c r="B366" s="128"/>
      <c r="C366" s="126" t="e">
        <f aca="false">NextMonth(C365)</f>
        <v>#VALUE!</v>
      </c>
      <c r="D366" s="127" t="n">
        <v>0.0668266474411805</v>
      </c>
    </row>
    <row r="367" customFormat="false" ht="12.75" hidden="false" customHeight="false" outlineLevel="0" collapsed="false">
      <c r="A367" s="128"/>
      <c r="B367" s="128"/>
      <c r="C367" s="126" t="e">
        <f aca="false">NextMonth(C366)</f>
        <v>#VALUE!</v>
      </c>
      <c r="D367" s="127" t="n">
        <v>0.066823464607217</v>
      </c>
    </row>
    <row r="368" customFormat="false" ht="12.75" hidden="false" customHeight="false" outlineLevel="0" collapsed="false">
      <c r="A368" s="128"/>
      <c r="B368" s="128"/>
      <c r="C368" s="126" t="e">
        <f aca="false">NextMonth(C367)</f>
        <v>#VALUE!</v>
      </c>
      <c r="D368" s="127" t="n">
        <v>0.0668203844453195</v>
      </c>
    </row>
    <row r="369" customFormat="false" ht="12.75" hidden="false" customHeight="false" outlineLevel="0" collapsed="false">
      <c r="A369" s="128"/>
      <c r="B369" s="128"/>
      <c r="C369" s="126" t="e">
        <f aca="false">NextMonth(C368)</f>
        <v>#VALUE!</v>
      </c>
      <c r="D369" s="127" t="n">
        <v>0.0668172016113622</v>
      </c>
    </row>
    <row r="370" customFormat="false" ht="12.75" hidden="false" customHeight="false" outlineLevel="0" collapsed="false">
      <c r="A370" s="128"/>
      <c r="B370" s="128"/>
      <c r="C370" s="126" t="e">
        <f aca="false">NextMonth(C369)</f>
        <v>#VALUE!</v>
      </c>
      <c r="D370" s="127" t="n">
        <v>0.0668141214494713</v>
      </c>
    </row>
    <row r="371" customFormat="false" ht="12.75" hidden="false" customHeight="false" outlineLevel="0" collapsed="false">
      <c r="A371" s="128"/>
      <c r="B371" s="128"/>
      <c r="C371" s="126" t="e">
        <f aca="false">NextMonth(C370)</f>
        <v>#VALUE!</v>
      </c>
      <c r="D371" s="127" t="n">
        <v>0.0668109386155202</v>
      </c>
    </row>
    <row r="372" customFormat="false" ht="12.75" hidden="false" customHeight="false" outlineLevel="0" collapsed="false">
      <c r="A372" s="128"/>
      <c r="B372" s="128"/>
      <c r="C372" s="126" t="e">
        <f aca="false">NextMonth(C371)</f>
        <v>#VALUE!</v>
      </c>
      <c r="D372" s="127" t="n">
        <v>0.0668077557815732</v>
      </c>
    </row>
    <row r="373" customFormat="false" ht="12.75" hidden="false" customHeight="false" outlineLevel="0" collapsed="false">
      <c r="A373" s="128"/>
      <c r="B373" s="128"/>
      <c r="C373" s="126" t="e">
        <f aca="false">NextMonth(C372)</f>
        <v>#VALUE!</v>
      </c>
      <c r="D373" s="127" t="n">
        <v>0.0668048809638169</v>
      </c>
    </row>
    <row r="374" customFormat="false" ht="12.75" hidden="false" customHeight="false" outlineLevel="0" collapsed="false">
      <c r="A374" s="128"/>
      <c r="B374" s="128"/>
      <c r="C374" s="126" t="e">
        <f aca="false">NextMonth(C373)</f>
        <v>#VALUE!</v>
      </c>
      <c r="D374" s="127" t="n">
        <v>0.066801698129876</v>
      </c>
    </row>
    <row r="375" customFormat="false" ht="12.75" hidden="false" customHeight="false" outlineLevel="0" collapsed="false">
      <c r="A375" s="128"/>
      <c r="B375" s="128"/>
      <c r="C375" s="126" t="e">
        <f aca="false">NextMonth(C374)</f>
        <v>#VALUE!</v>
      </c>
      <c r="D375" s="127" t="n">
        <v>0.0667986179680007</v>
      </c>
    </row>
    <row r="376" customFormat="false" ht="12.75" hidden="false" customHeight="false" outlineLevel="0" collapsed="false">
      <c r="A376" s="128"/>
      <c r="B376" s="128"/>
      <c r="C376" s="126" t="e">
        <f aca="false">NextMonth(C375)</f>
        <v>#VALUE!</v>
      </c>
      <c r="D376" s="127" t="n">
        <v>0.066795435134066</v>
      </c>
    </row>
    <row r="377" customFormat="false" ht="12.75" hidden="false" customHeight="false" outlineLevel="0" collapsed="false">
      <c r="C377" s="126" t="e">
        <f aca="false">NextMonth(C376)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">
              <controlPr defaultSize="0" print="false" autoFill="0" autoPict="0" macro="Module1.LoadInTheCurves">
                <anchor moveWithCells="true" sizeWithCells="false">
                  <from>
                    <xdr:col>0</xdr:col>
                    <xdr:colOff>673920</xdr:colOff>
                    <xdr:row>10</xdr:row>
                    <xdr:rowOff>9360</xdr:rowOff>
                  </from>
                  <to>
                    <xdr:col>1</xdr:col>
                    <xdr:colOff>976680</xdr:colOff>
                    <xdr:row>14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1999-10-07T18:11:24Z</dcterms:created>
  <dc:creator>Will Kelly</dc:creator>
  <dc:description>- Oracle 8i ODBC QueryFix Applied</dc:description>
  <dc:language>en-US</dc:language>
  <cp:lastModifiedBy>mgarber2</cp:lastModifiedBy>
  <cp:lastPrinted>2001-06-22T13:04:26Z</cp:lastPrinted>
  <dcterms:modified xsi:type="dcterms:W3CDTF">2001-06-22T15:30:03Z</dcterms:modified>
  <cp:revision>0</cp:revision>
  <dc:subject/>
  <dc:title/>
</cp:coreProperties>
</file>