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B1" sheetId="1" state="visible" r:id="rId3"/>
    <sheet name="Exhibit B2" sheetId="2" state="visible" r:id="rId4"/>
    <sheet name="Exhibit B1, Chart 1" sheetId="3" state="visible" r:id="rId5"/>
    <sheet name="Exhibit B2, Chart 2" sheetId="4" state="visible" r:id="rId6"/>
    <sheet name="Exhibit B2, Chart 3" sheetId="5" state="visible" r:id="rId7"/>
    <sheet name="Exhibit F" sheetId="6" state="visible" r:id="rId8"/>
    <sheet name="Exhibit F, Chart 1" sheetId="7" state="visible" r:id="rId9"/>
  </sheets>
  <externalReferences>
    <externalReference r:id="rId10"/>
    <externalReference r:id="rId11"/>
  </externalReferences>
  <definedNames>
    <definedName function="false" hidden="false" name="DiscRate" vbProcedure="false">[2]facts!$C$15</definedName>
    <definedName function="false" hidden="false" name="discrate2" vbProcedure="false">'Exhibit B1'!$E$12</definedName>
    <definedName function="false" hidden="false" name="DiscRate3" vbProcedure="false">'Exhibit B1'!$F$12</definedName>
    <definedName function="false" hidden="false" name="DiscRate4" vbProcedure="false">'Exhibit B1'!$G$12</definedName>
    <definedName function="false" hidden="false" name="DiscRate5" vbProcedure="false">'Exhibit B1'!$H$12</definedName>
    <definedName function="false" hidden="false" name="DiscRate6" vbProcedure="false">'Exhibit B1'!$I$12</definedName>
    <definedName function="false" hidden="false" name="tixdr0" vbProcedure="false">[2]attendance!$F$24</definedName>
    <definedName function="false" hidden="false" name="tixdr2" vbProcedure="false">[2]attendance!$G$24</definedName>
    <definedName function="false" hidden="false" name="tixdr3" vbProcedure="false">[2]attendance!$H$24</definedName>
    <definedName function="false" hidden="false" name="tixdr4" vbProcedure="false">[2]attendance!$I$24</definedName>
    <definedName function="false" hidden="false" name="tixdr5" vbProcedure="false">[2]attendance!$J$24</definedName>
    <definedName function="false" hidden="false" name="tixdr6" vbProcedure="false">[2]attendance!$K$24</definedName>
    <definedName function="false" hidden="false" localSheetId="0" name="DiscRate" vbProcedure="false">'Exhibit B1'!$D$12</definedName>
    <definedName function="false" hidden="false" localSheetId="1" name="DiscRate" vbProcedure="false">'Exhibit B2'!$D$13</definedName>
    <definedName function="false" hidden="false" localSheetId="1" name="discrate2" vbProcedure="false">'Exhibit B2'!$E$13</definedName>
    <definedName function="false" hidden="false" localSheetId="1" name="DiscRate3" vbProcedure="false">'Exhibit B2'!$F$13</definedName>
    <definedName function="false" hidden="false" localSheetId="1" name="DiscRate4" vbProcedure="false">'Exhibit B2'!$G$13</definedName>
    <definedName function="false" hidden="false" localSheetId="1" name="DiscRate5" vbProcedure="false">'Exhibit B2'!$H$13</definedName>
    <definedName function="false" hidden="false" localSheetId="1" name="DiscRate6" vbProcedure="false">'Exhibit B2'!$I$13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<sst xmlns="http://schemas.openxmlformats.org/spreadsheetml/2006/main" count="58" uniqueCount="34">
  <si>
    <t xml:space="preserve">GIVEN:</t>
  </si>
  <si>
    <t xml:space="preserve"> - 20 year lease</t>
  </si>
  <si>
    <t xml:space="preserve"> - a minimum of 90% of home games will be played in the new stadium</t>
  </si>
  <si>
    <t xml:space="preserve"> - it takes three (3) years to construct</t>
  </si>
  <si>
    <t xml:space="preserve"> - Estimated Cost</t>
  </si>
  <si>
    <t xml:space="preserve"> - County Contribution</t>
  </si>
  <si>
    <t xml:space="preserve">(384 - 45)</t>
  </si>
  <si>
    <t xml:space="preserve">Assumes project goes over, as most do.</t>
  </si>
  <si>
    <t xml:space="preserve"> - Construction Duration</t>
  </si>
  <si>
    <t xml:space="preserve">(7/1/97 - 12/31/99)</t>
  </si>
  <si>
    <t xml:space="preserve">Risk Premium Rate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</si>
  <si>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</si>
  <si>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</si>
  <si>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</si>
  <si>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</si>
  <si>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</si>
  <si>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</si>
  <si>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</si>
  <si>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</si>
  <si>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</si>
  <si>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</si>
  <si>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 - Monthly Payment</t>
  </si>
  <si>
    <t xml:space="preserve">Risk Free Rate</t>
  </si>
  <si>
    <t xml:space="preserve">Bonds issued at Risk Premium Rate</t>
  </si>
  <si>
    <t xml:space="preserve">PV of future tax revenue</t>
  </si>
  <si>
    <t xml:space="preserve">Face value of bonds issued</t>
  </si>
  <si>
    <t xml:space="preserve">PV 3/1/99</t>
  </si>
  <si>
    <t xml:space="preserve">PV of Estimated Future Tax Revenue @ 7/1/97</t>
  </si>
  <si>
    <t xml:space="preserve">year</t>
  </si>
  <si>
    <t xml:space="preserve">Tax Revenue</t>
  </si>
  <si>
    <t xml:space="preserve">TOTAL</t>
  </si>
  <si>
    <t xml:space="preserve">Estimated Future Tax Revenue is discounted at the Risk Premium Rate.</t>
  </si>
  <si>
    <t xml:space="preserve">Risk Free Rate:</t>
  </si>
  <si>
    <t xml:space="preserve">Face Value of bond issued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</si>
</sst>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\$* #,##0.00_);_(\$* \(#,##0.00\);_(\$* \-??_);_(@_)"/>
    <numFmt numFmtId="166" formatCode="\$#,##0.0_);[RED]&quot;($&quot;#,##0.0\)"/>
    <numFmt numFmtId="167" formatCode="0&quot; mos&quot;"/>
    <numFmt numFmtId="168" formatCode="_(\$* #,##0_);_(\$* \(#,##0\);_(\$* \-??_);_(@_)"/>
    <numFmt numFmtId="169" formatCode="[$-409]mmm\-yy"/>
    <numFmt numFmtId="170" formatCode="[$-409]m/d/yyyy"/>
    <numFmt numFmtId="171" formatCode="0.00%"/>
    <numFmt numFmtId="172" formatCode="\$#,##0.00"/>
    <numFmt numFmtId="173" formatCode="_(* #,##0.00_);_(* \(#,##0.00\);_(* \-??_);_(@_)"/>
    <numFmt numFmtId="174" formatCode="\$#,##0.000_);[RED]&quot;($&quot;#,##0.000\)"/>
    <numFmt numFmtId="175" formatCode="0.00"/>
    <numFmt numFmtId="176" formatCode="\$#,##0.00_);[RED]&quot;($&quot;#,##0.00\)"/>
    <numFmt numFmtId="177" formatCode="0%"/>
    <numFmt numFmtId="178" formatCode="&quot;@ &amp;&quot;0.00%"/>
    <numFmt numFmtId="179" formatCode="_(* #,##0_);_(* \(#,##0\);_(* \-??_);_(@_)"/>
  </numFmts>
  <fonts count="1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6"/>
      <color rgb="FF000000"/>
      <name val="Times New Roman"/>
      <family val="2"/>
    </font>
    <font>
      <sz val="12"/>
      <color rgb="FF000000"/>
      <name val="Times New Roman"/>
      <family val="2"/>
    </font>
    <font>
      <b val="true"/>
      <sz val="12"/>
      <color rgb="FF000000"/>
      <name val="Times New Roman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INgroupproject5" xfId="20"/>
    <cellStyle name="Normal_JACKIE EXHIBIT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Times New Roman"/>
              </a:rPr>
              <a:t>NPV vs. Risk Premium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'Exhibit B1'!$D$12:$I$12</c:f>
              <c:numCache>
                <c:formatCode>0.00%</c:formatCode>
                <c:ptCount val="6"/>
                <c:pt idx="0">
                  <c:v>0.057</c:v>
                </c:pt>
                <c:pt idx="1">
                  <c:v>0.0545</c:v>
                </c:pt>
                <c:pt idx="2">
                  <c:v>0.052</c:v>
                </c:pt>
                <c:pt idx="3">
                  <c:v>0.0595</c:v>
                </c:pt>
                <c:pt idx="4">
                  <c:v>0.062</c:v>
                </c:pt>
                <c:pt idx="5">
                  <c:v>0.0645</c:v>
                </c:pt>
              </c:numCache>
            </c:numRef>
          </c:xVal>
          <c:yVal>
            <c:numRef>
              <c:f>'Exhibit B1'!$D$28:$I$28</c:f>
              <c:numCache>
                <c:formatCode>\$#,##0.0_);[RED]"($"#,##0.0\)</c:formatCode>
                <c:ptCount val="6"/>
                <c:pt idx="0">
                  <c:v>-307.517136358145</c:v>
                </c:pt>
                <c:pt idx="1">
                  <c:v>-308.312260049615</c:v>
                </c:pt>
                <c:pt idx="2">
                  <c:v>-309.104806201712</c:v>
                </c:pt>
                <c:pt idx="3">
                  <c:v>-306.719691059072</c:v>
                </c:pt>
                <c:pt idx="4">
                  <c:v>-305.920167812252</c:v>
                </c:pt>
                <c:pt idx="5">
                  <c:v>-305.118798600571</c:v>
                </c:pt>
              </c:numCache>
            </c:numRef>
          </c:yVal>
          <c:smooth val="0"/>
        </c:ser>
        <c:axId val="16534542"/>
        <c:axId val="84615210"/>
      </c:scatterChart>
      <c:valAx>
        <c:axId val="165345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Risk Premium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4615210"/>
        <c:crossesAt val="0"/>
        <c:crossBetween val="midCat"/>
      </c:valAx>
      <c:valAx>
        <c:axId val="846152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NPV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_);[RED]&quot;($&quot;#,##0.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53454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Times New Roman"/>
              </a:rPr>
              <a:t>NPV vs Risk Premium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'Exhibit B2'!$D$14:$I$14</c:f>
              <c:numCache>
                <c:formatCode>0.00%</c:formatCode>
                <c:ptCount val="6"/>
                <c:pt idx="0">
                  <c:v>0.057</c:v>
                </c:pt>
                <c:pt idx="1">
                  <c:v>0.0545</c:v>
                </c:pt>
                <c:pt idx="2">
                  <c:v>0.052</c:v>
                </c:pt>
                <c:pt idx="3">
                  <c:v>0.0595</c:v>
                </c:pt>
                <c:pt idx="4">
                  <c:v>0.062</c:v>
                </c:pt>
                <c:pt idx="5">
                  <c:v>0.0645</c:v>
                </c:pt>
              </c:numCache>
            </c:numRef>
          </c:xVal>
          <c:yVal>
            <c:numRef>
              <c:f>'Exhibit B2'!$D$33:$I$33</c:f>
              <c:numCache>
                <c:formatCode>\$#,##0.0_);[RED]"($"#,##0.0\)</c:formatCode>
                <c:ptCount val="6"/>
                <c:pt idx="0">
                  <c:v>7.56122808023713</c:v>
                </c:pt>
                <c:pt idx="1">
                  <c:v>12.9503865849439</c:v>
                </c:pt>
                <c:pt idx="2">
                  <c:v>18.5157202602346</c:v>
                </c:pt>
                <c:pt idx="3">
                  <c:v>2.3428666404144</c:v>
                </c:pt>
                <c:pt idx="4">
                  <c:v>-2.7099256535106</c:v>
                </c:pt>
                <c:pt idx="5">
                  <c:v>-7.60222895901876</c:v>
                </c:pt>
              </c:numCache>
            </c:numRef>
          </c:yVal>
          <c:smooth val="0"/>
        </c:ser>
        <c:axId val="88432986"/>
        <c:axId val="63596260"/>
      </c:scatterChart>
      <c:valAx>
        <c:axId val="884329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Risk Premium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596260"/>
        <c:crossesAt val="0"/>
        <c:crossBetween val="midCat"/>
      </c:valAx>
      <c:valAx>
        <c:axId val="63596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NPV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_);[RED]&quot;($&quot;#,##0.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843298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Times New Roman"/>
              </a:rPr>
              <a:t>NPV vs. Risk Free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'Exhibit B2'!$D$13:$I$13</c:f>
              <c:numCache>
                <c:formatCode>0.00%</c:formatCode>
                <c:ptCount val="6"/>
                <c:pt idx="0">
                  <c:v>0.0488</c:v>
                </c:pt>
                <c:pt idx="1">
                  <c:v>0.0463</c:v>
                </c:pt>
                <c:pt idx="2">
                  <c:v>0.0438</c:v>
                </c:pt>
                <c:pt idx="3">
                  <c:v>0.0513</c:v>
                </c:pt>
                <c:pt idx="4">
                  <c:v>0.0538</c:v>
                </c:pt>
                <c:pt idx="5">
                  <c:v>0.0563</c:v>
                </c:pt>
              </c:numCache>
            </c:numRef>
          </c:xVal>
          <c:yVal>
            <c:numRef>
              <c:f>'Exhibit B2'!$D$33:$I$33</c:f>
              <c:numCache>
                <c:formatCode>\$#,##0.0_);[RED]"($"#,##0.0\)</c:formatCode>
                <c:ptCount val="6"/>
                <c:pt idx="0">
                  <c:v>7.56122808023713</c:v>
                </c:pt>
                <c:pt idx="1">
                  <c:v>12.9503865849439</c:v>
                </c:pt>
                <c:pt idx="2">
                  <c:v>18.5157202602346</c:v>
                </c:pt>
                <c:pt idx="3">
                  <c:v>2.3428666404144</c:v>
                </c:pt>
                <c:pt idx="4">
                  <c:v>-2.7099256535106</c:v>
                </c:pt>
                <c:pt idx="5">
                  <c:v>-7.60222895901876</c:v>
                </c:pt>
              </c:numCache>
            </c:numRef>
          </c:yVal>
          <c:smooth val="0"/>
        </c:ser>
        <c:axId val="39604193"/>
        <c:axId val="8708758"/>
      </c:scatterChart>
      <c:valAx>
        <c:axId val="396041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Risk Free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708758"/>
        <c:crossesAt val="0"/>
        <c:crossBetween val="midCat"/>
      </c:valAx>
      <c:valAx>
        <c:axId val="87087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NPV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_);[RED]&quot;($&quot;#,##0.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9604193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Times New Roman"/>
              </a:rPr>
              <a:t>Bond Face Value vs. Risk Premium Discount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'Exhibit F'!$C$31:$H$31</c:f>
              <c:numCache>
                <c:formatCode>0.00%</c:formatCode>
                <c:ptCount val="6"/>
                <c:pt idx="0">
                  <c:v>0.057</c:v>
                </c:pt>
                <c:pt idx="1">
                  <c:v>0.0545</c:v>
                </c:pt>
                <c:pt idx="2">
                  <c:v>0.052</c:v>
                </c:pt>
                <c:pt idx="3">
                  <c:v>0.0595</c:v>
                </c:pt>
                <c:pt idx="4">
                  <c:v>0.062</c:v>
                </c:pt>
                <c:pt idx="5">
                  <c:v>0.0645</c:v>
                </c:pt>
              </c:numCache>
            </c:numRef>
          </c:xVal>
          <c:yVal>
            <c:numRef>
              <c:f>'Exhibit F'!$C$33:$H$33</c:f>
              <c:numCache>
                <c:formatCode>\$#,##0.0_);[RED]"($"#,##0.0\)</c:formatCode>
                <c:ptCount val="6"/>
                <c:pt idx="0">
                  <c:v>317.676301817471</c:v>
                </c:pt>
                <c:pt idx="1">
                  <c:v>323.851102761966</c:v>
                </c:pt>
                <c:pt idx="2">
                  <c:v>330.198567753616</c:v>
                </c:pt>
                <c:pt idx="3">
                  <c:v>311.669087583747</c:v>
                </c:pt>
                <c:pt idx="4">
                  <c:v>305.82451845255</c:v>
                </c:pt>
                <c:pt idx="5">
                  <c:v>300.13778682579</c:v>
                </c:pt>
              </c:numCache>
            </c:numRef>
          </c:yVal>
          <c:smooth val="0"/>
        </c:ser>
        <c:axId val="27016004"/>
        <c:axId val="6360621"/>
      </c:scatterChart>
      <c:valAx>
        <c:axId val="270160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Risk Premium Discount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60621"/>
        <c:crossesAt val="0"/>
        <c:crossBetween val="midCat"/>
      </c:valAx>
      <c:valAx>
        <c:axId val="63606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Bond Face Value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_);[RED]&quot;($&quot;#,##0.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01600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360</xdr:colOff>
      <xdr:row>22</xdr:row>
      <xdr:rowOff>162000</xdr:rowOff>
    </xdr:to>
    <xdr:sp>
      <xdr:nvSpPr>
        <xdr:cNvPr id="3" name="Rectangle 1"/>
        <xdr:cNvSpPr/>
      </xdr:nvSpPr>
      <xdr:spPr>
        <a:xfrm>
          <a:off x="0" y="0"/>
          <a:ext cx="784404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FINgroupproject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JACKIE%20EXHIBI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cts"/>
      <sheetName val="facts premium"/>
      <sheetName val="tax rev"/>
      <sheetName val="cashflow 4.88"/>
      <sheetName val="cashflow 5.63"/>
      <sheetName val="attendance"/>
      <sheetName val="elasticity"/>
      <sheetName val="Chart3"/>
      <sheetName val="chart data"/>
    </sheetNames>
    <sheetDataSet>
      <sheetData sheetId="0"/>
      <sheetData sheetId="1"/>
      <sheetData sheetId="2">
        <row r="23">
          <cell r="C23">
            <v>350472549.334452</v>
          </cell>
          <cell r="D23">
            <v>358008851.154605</v>
          </cell>
          <cell r="E23">
            <v>365788328.825356</v>
          </cell>
          <cell r="F23">
            <v>343170429.281532</v>
          </cell>
          <cell r="G23">
            <v>336093868.374683</v>
          </cell>
          <cell r="H23">
            <v>329234598.777658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hibit C"/>
      <sheetName val="Exhibit D"/>
      <sheetName val="Exhibit G - 4.88%"/>
      <sheetName val="Exhibit G - 5.63%"/>
      <sheetName val="facts"/>
      <sheetName val="facts premium"/>
      <sheetName val="attendance"/>
      <sheetName val="elasticity"/>
      <sheetName val="Chart3"/>
      <sheetName val="chart data"/>
    </sheetNames>
    <sheetDataSet>
      <sheetData sheetId="0"/>
      <sheetData sheetId="1"/>
      <sheetData sheetId="2"/>
      <sheetData sheetId="3"/>
      <sheetData sheetId="4"/>
      <sheetData sheetId="5">
        <row r="16">
          <cell r="C16">
            <v>0.057</v>
          </cell>
          <cell r="D16">
            <v>0.0545</v>
          </cell>
          <cell r="E16">
            <v>0.052</v>
          </cell>
          <cell r="F16">
            <v>0.0595</v>
          </cell>
          <cell r="G16">
            <v>0.062</v>
          </cell>
          <cell r="H16">
            <v>0.0645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1.87"/>
    <col collapsed="false" customWidth="true" hidden="false" outlineLevel="0" max="3" min="3" style="1" width="8.74"/>
    <col collapsed="false" customWidth="true" hidden="false" outlineLevel="0" max="4" min="4" style="1" width="13.11"/>
    <col collapsed="false" customWidth="true" hidden="false" outlineLevel="0" max="5" min="5" style="1" width="11.24"/>
    <col collapsed="false" customWidth="true" hidden="false" outlineLevel="0" max="6" min="6" style="1" width="8.87"/>
    <col collapsed="false" customWidth="false" hidden="false" outlineLevel="0" max="11" min="7" style="1" width="7.99"/>
    <col collapsed="false" customWidth="true" hidden="false" outlineLevel="0" max="12" min="12" style="1" width="12.12"/>
    <col collapsed="false" customWidth="false" hidden="false" outlineLevel="0" max="257" min="13" style="1" width="7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B2" s="3" t="s">
        <v>1</v>
      </c>
    </row>
    <row r="3" customFormat="false" ht="12.75" hidden="false" customHeight="false" outlineLevel="0" collapsed="false">
      <c r="B3" s="3" t="s">
        <v>2</v>
      </c>
    </row>
    <row r="4" customFormat="false" ht="12.75" hidden="false" customHeight="false" outlineLevel="0" collapsed="false">
      <c r="B4" s="3" t="s">
        <v>3</v>
      </c>
    </row>
    <row r="5" customFormat="false" ht="12.75" hidden="false" customHeight="false" outlineLevel="0" collapsed="false">
      <c r="B5" s="3" t="s">
        <v>4</v>
      </c>
      <c r="D5" s="4" t="n">
        <v>363.5</v>
      </c>
    </row>
    <row r="6" customFormat="false" ht="12.75" hidden="false" customHeight="false" outlineLevel="0" collapsed="false">
      <c r="B6" s="5" t="s">
        <v>5</v>
      </c>
      <c r="D6" s="4" t="n">
        <f aca="false">384-45</f>
        <v>339</v>
      </c>
      <c r="E6" s="1" t="s">
        <v>6</v>
      </c>
      <c r="F6" s="1" t="s">
        <v>7</v>
      </c>
    </row>
    <row r="7" customFormat="false" ht="12.75" hidden="false" customHeight="false" outlineLevel="0" collapsed="false">
      <c r="B7" s="5" t="s">
        <v>8</v>
      </c>
      <c r="D7" s="6" t="n">
        <v>30</v>
      </c>
      <c r="E7" s="1" t="s">
        <v>9</v>
      </c>
    </row>
    <row r="8" customFormat="false" ht="12.75" hidden="false" customHeight="false" outlineLevel="0" collapsed="false">
      <c r="B8" s="7"/>
      <c r="C8" s="8"/>
      <c r="E8" s="9"/>
    </row>
    <row r="10" customFormat="false" ht="13.5" hidden="false" customHeight="false" outlineLevel="0" collapsed="false">
      <c r="C10" s="10"/>
    </row>
    <row r="11" customFormat="false" ht="12.75" hidden="false" customHeight="false" outlineLevel="0" collapsed="false">
      <c r="B11" s="11"/>
      <c r="C11" s="12"/>
      <c r="D11" s="12"/>
      <c r="E11" s="12"/>
      <c r="F11" s="12"/>
      <c r="G11" s="12"/>
      <c r="H11" s="12"/>
      <c r="I11" s="12"/>
      <c r="J11" s="13"/>
    </row>
    <row r="12" customFormat="false" ht="12.75" hidden="false" customHeight="false" outlineLevel="0" collapsed="false">
      <c r="B12" s="14" t="s">
        <v>10</v>
      </c>
      <c r="C12" s="15"/>
      <c r="D12" s="16" t="n">
        <v>0.057</v>
      </c>
      <c r="E12" s="17" t="n">
        <f aca="false">DiscRate-0.0025</f>
        <v>0.0545</v>
      </c>
      <c r="F12" s="17" t="n">
        <f aca="false">DiscRate-0.005</f>
        <v>0.052</v>
      </c>
      <c r="G12" s="17" t="n">
        <f aca="false">DiscRate+0.0025</f>
        <v>0.0595</v>
      </c>
      <c r="H12" s="17" t="n">
        <f aca="false">DiscRate+0.005</f>
        <v>0.062</v>
      </c>
      <c r="I12" s="17" t="n">
        <f aca="false">DiscRate+0.0075</f>
        <v>0.0645</v>
      </c>
      <c r="J12" s="18"/>
    </row>
    <row r="13" customFormat="false" ht="12.75" hidden="false" customHeight="false" outlineLevel="0" collapsed="false">
      <c r="B13" s="19"/>
      <c r="C13" s="15"/>
      <c r="D13" s="20"/>
      <c r="E13" s="20"/>
      <c r="F13" s="20"/>
      <c r="G13" s="20"/>
      <c r="H13" s="20"/>
      <c r="I13" s="20"/>
      <c r="J13" s="18"/>
    </row>
    <row r="14" customFormat="false" ht="12.75" hidden="false" customHeight="false" outlineLevel="0" collapsed="false">
      <c r="B14" s="14"/>
      <c r="C14" s="15"/>
      <c r="D14" s="20"/>
      <c r="E14" s="20"/>
      <c r="F14" s="20"/>
      <c r="G14" s="20"/>
      <c r="H14" s="20"/>
      <c r="I14" s="20"/>
      <c r="J14" s="18"/>
    </row>
    <row r="15" customFormat="false" ht="12.75" hidden="false" customHeight="false" outlineLevel="0" collapsed="false">
      <c r="B15" s="14" t="s">
        <v>11</v>
      </c>
      <c r="C15" s="15"/>
      <c r="D15" s="20"/>
      <c r="E15" s="20"/>
      <c r="F15" s="20"/>
      <c r="G15" s="20"/>
      <c r="H15" s="20"/>
      <c r="I15" s="20"/>
      <c r="J15" s="18"/>
      <c r="L15" s="21"/>
    </row>
    <row r="16" customFormat="false" ht="12.75" hidden="false" customHeight="false" outlineLevel="0" collapsed="false">
      <c r="B16" s="19"/>
      <c r="C16" s="15" t="s">
        <v>12</v>
      </c>
      <c r="D16" s="22" t="n">
        <v>0.6</v>
      </c>
      <c r="E16" s="23" t="n">
        <f aca="false">$D$16</f>
        <v>0.6</v>
      </c>
      <c r="F16" s="23" t="n">
        <f aca="false">$D$16</f>
        <v>0.6</v>
      </c>
      <c r="G16" s="23" t="n">
        <f aca="false">$D$16</f>
        <v>0.6</v>
      </c>
      <c r="H16" s="23" t="n">
        <f aca="false">$D$16</f>
        <v>0.6</v>
      </c>
      <c r="I16" s="23" t="n">
        <f aca="false">$D$16</f>
        <v>0.6</v>
      </c>
      <c r="J16" s="18"/>
      <c r="L16" s="21"/>
    </row>
    <row r="17" customFormat="false" ht="12.75" hidden="false" customHeight="false" outlineLevel="0" collapsed="false">
      <c r="B17" s="19"/>
      <c r="C17" s="15" t="s">
        <v>13</v>
      </c>
      <c r="D17" s="24" t="n">
        <f aca="false">D16/POWER(1+DiscRate,21.5)</f>
        <v>0.182196077694574</v>
      </c>
      <c r="E17" s="24" t="n">
        <f aca="false">E16/POWER(1+discrate2,21.5)</f>
        <v>0.19171217429998</v>
      </c>
      <c r="F17" s="24" t="n">
        <f aca="false">F16/POWER(1+DiscRate3,21.5)</f>
        <v>0.201749675239745</v>
      </c>
      <c r="G17" s="24" t="n">
        <f aca="false">G16/POWER(1+DiscRate4,21.5)</f>
        <v>0.173173162396801</v>
      </c>
      <c r="H17" s="24" t="n">
        <f aca="false">H16/POWER(1+DiscRate5,21.5)</f>
        <v>0.164616794393703</v>
      </c>
      <c r="I17" s="24" t="n">
        <f aca="false">I16/POWER(1+DiscRate6,21.5)</f>
        <v>0.156501835784078</v>
      </c>
      <c r="J17" s="18"/>
    </row>
    <row r="18" customFormat="false" ht="12.75" hidden="false" customHeight="false" outlineLevel="0" collapsed="false">
      <c r="B18" s="19"/>
      <c r="C18" s="15"/>
      <c r="D18" s="15"/>
      <c r="E18" s="15"/>
      <c r="F18" s="15"/>
      <c r="G18" s="15"/>
      <c r="H18" s="15"/>
      <c r="I18" s="15"/>
      <c r="J18" s="18"/>
    </row>
    <row r="19" customFormat="false" ht="12.75" hidden="false" customHeight="false" outlineLevel="0" collapsed="false">
      <c r="B19" s="19" t="s">
        <v>14</v>
      </c>
      <c r="C19" s="15"/>
      <c r="D19" s="25"/>
      <c r="E19" s="15"/>
      <c r="F19" s="15"/>
      <c r="G19" s="15"/>
      <c r="H19" s="15"/>
      <c r="I19" s="15"/>
      <c r="J19" s="18"/>
    </row>
    <row r="20" customFormat="false" ht="12.75" hidden="false" customHeight="false" outlineLevel="0" collapsed="false">
      <c r="B20" s="19"/>
      <c r="C20" s="26" t="s">
        <v>15</v>
      </c>
      <c r="D20" s="4" t="n">
        <f aca="false">D6</f>
        <v>339</v>
      </c>
      <c r="E20" s="15"/>
      <c r="F20" s="15"/>
      <c r="G20" s="15"/>
      <c r="H20" s="15"/>
      <c r="I20" s="15"/>
      <c r="J20" s="18"/>
      <c r="K20" s="9"/>
    </row>
    <row r="21" customFormat="false" ht="12.75" hidden="false" customHeight="false" outlineLevel="0" collapsed="false">
      <c r="B21" s="27"/>
      <c r="C21" s="28" t="s">
        <v>16</v>
      </c>
      <c r="D21" s="4" t="n">
        <f aca="false">-PV(DiscRate/12,$D$7,$D$6/$D$7,,0)</f>
        <v>315.257709516185</v>
      </c>
      <c r="E21" s="4" t="n">
        <f aca="false">-PV(discrate2/12,$D$7,$D$6/$D$7,,0)</f>
        <v>316.249885806127</v>
      </c>
      <c r="F21" s="4" t="n">
        <f aca="false">-PV(DiscRate3/12,$D$7,$D$6/$D$7,,0)</f>
        <v>317.24641283525</v>
      </c>
      <c r="G21" s="4" t="n">
        <f aca="false">-PV(DiscRate4/12,$D$7,$D$6/$D$7,,0)</f>
        <v>314.269861843958</v>
      </c>
      <c r="H21" s="4" t="n">
        <f aca="false">-PV(DiscRate5/12,$D$7,$D$6/$D$7,,0)</f>
        <v>313.286320791818</v>
      </c>
      <c r="I21" s="4" t="n">
        <f aca="false">-PV(DiscRate6/12,$D$7,$D$6/$D$7,,0)</f>
        <v>312.307064485215</v>
      </c>
      <c r="J21" s="18"/>
      <c r="K21" s="9"/>
    </row>
    <row r="22" customFormat="false" ht="12.75" hidden="false" customHeight="false" outlineLevel="0" collapsed="false">
      <c r="B22" s="19"/>
      <c r="C22" s="15"/>
      <c r="D22" s="15"/>
      <c r="E22" s="15"/>
      <c r="F22" s="15"/>
      <c r="G22" s="15"/>
      <c r="H22" s="15"/>
      <c r="I22" s="15"/>
      <c r="J22" s="18"/>
      <c r="K22" s="29"/>
    </row>
    <row r="23" customFormat="false" ht="12.75" hidden="false" customHeight="false" outlineLevel="0" collapsed="false">
      <c r="B23" s="19" t="s">
        <v>17</v>
      </c>
      <c r="C23" s="15"/>
      <c r="D23" s="15"/>
      <c r="E23" s="15"/>
      <c r="F23" s="15"/>
      <c r="G23" s="15"/>
      <c r="H23" s="15"/>
      <c r="I23" s="15"/>
      <c r="J23" s="18"/>
      <c r="K23" s="29"/>
    </row>
    <row r="24" customFormat="false" ht="12.75" hidden="false" customHeight="false" outlineLevel="0" collapsed="false">
      <c r="B24" s="19"/>
      <c r="C24" s="15" t="s">
        <v>18</v>
      </c>
      <c r="D24" s="15"/>
      <c r="E24" s="15"/>
      <c r="F24" s="15"/>
      <c r="G24" s="15"/>
      <c r="H24" s="15"/>
      <c r="I24" s="15"/>
      <c r="J24" s="18"/>
    </row>
    <row r="25" customFormat="false" ht="12.75" hidden="false" customHeight="false" outlineLevel="0" collapsed="false">
      <c r="B25" s="19"/>
      <c r="C25" s="15" t="s">
        <v>19</v>
      </c>
      <c r="D25" s="4" t="n">
        <f aca="false">PV(DiscRate/2,40,-0.35)</f>
        <v>8.28998096811979</v>
      </c>
      <c r="E25" s="4" t="n">
        <f aca="false">PV(discrate2/2,40,-0.35)</f>
        <v>8.46220653613246</v>
      </c>
      <c r="F25" s="4" t="n">
        <f aca="false">PV(DiscRate3/2,40,-0.35)</f>
        <v>8.63983757654466</v>
      </c>
      <c r="G25" s="4" t="n">
        <f aca="false">PV(DiscRate4/2,40,-0.35)</f>
        <v>8.12296493652325</v>
      </c>
      <c r="H25" s="4" t="n">
        <f aca="false">PV(DiscRate5/2,40,-0.35)</f>
        <v>7.96097038706455</v>
      </c>
      <c r="I25" s="4" t="n">
        <f aca="false">PV(DiscRate6/2,40,-0.35)</f>
        <v>7.80381680633254</v>
      </c>
      <c r="J25" s="18"/>
    </row>
    <row r="26" customFormat="false" ht="12.75" hidden="false" customHeight="false" outlineLevel="0" collapsed="false">
      <c r="B26" s="19"/>
      <c r="C26" s="30" t="s">
        <v>13</v>
      </c>
      <c r="D26" s="4" t="n">
        <f aca="false">D25/POWER(1+DiscRate,20/12)</f>
        <v>7.55837708034536</v>
      </c>
      <c r="E26" s="4" t="n">
        <f aca="false">E25/POWER(1+discrate2,20/12)</f>
        <v>7.7459135822122</v>
      </c>
      <c r="F26" s="4" t="n">
        <f aca="false">F25/POWER(1+DiscRate3,20/12)</f>
        <v>7.93985695829777</v>
      </c>
      <c r="G26" s="4" t="n">
        <f aca="false">G25/POWER(1+DiscRate4,20/12)</f>
        <v>7.37699762248871</v>
      </c>
      <c r="H26" s="4" t="n">
        <f aca="false">H25/POWER(1+DiscRate5,20/12)</f>
        <v>7.20153618517217</v>
      </c>
      <c r="I26" s="4" t="n">
        <f aca="false">I25/POWER(1+DiscRate6,20/12)</f>
        <v>7.03176404885969</v>
      </c>
      <c r="J26" s="18"/>
    </row>
    <row r="27" customFormat="false" ht="12.75" hidden="false" customHeight="false" outlineLevel="0" collapsed="false">
      <c r="B27" s="19"/>
      <c r="C27" s="30"/>
      <c r="D27" s="31"/>
      <c r="E27" s="32"/>
      <c r="F27" s="31"/>
      <c r="G27" s="32"/>
      <c r="H27" s="32"/>
      <c r="I27" s="32"/>
      <c r="J27" s="18"/>
    </row>
    <row r="28" customFormat="false" ht="12.75" hidden="false" customHeight="false" outlineLevel="0" collapsed="false">
      <c r="B28" s="14" t="s">
        <v>20</v>
      </c>
      <c r="C28" s="15"/>
      <c r="D28" s="33" t="n">
        <f aca="false">D17+D26-D21</f>
        <v>-307.517136358145</v>
      </c>
      <c r="E28" s="33" t="n">
        <f aca="false">E17+E26-E21</f>
        <v>-308.312260049615</v>
      </c>
      <c r="F28" s="33" t="n">
        <f aca="false">F17+F26-F21</f>
        <v>-309.104806201712</v>
      </c>
      <c r="G28" s="33" t="n">
        <f aca="false">G17+G26-G21</f>
        <v>-306.719691059072</v>
      </c>
      <c r="H28" s="33" t="n">
        <f aca="false">H17+H26-H21</f>
        <v>-305.920167812252</v>
      </c>
      <c r="I28" s="33" t="n">
        <f aca="false">I17+I26-I21</f>
        <v>-305.118798600571</v>
      </c>
      <c r="J28" s="18"/>
    </row>
    <row r="29" customFormat="false" ht="12.75" hidden="false" customHeight="false" outlineLevel="0" collapsed="false">
      <c r="B29" s="19"/>
      <c r="C29" s="15"/>
      <c r="D29" s="15"/>
      <c r="E29" s="15"/>
      <c r="F29" s="15"/>
      <c r="G29" s="15"/>
      <c r="H29" s="15"/>
      <c r="I29" s="15"/>
      <c r="J29" s="18"/>
    </row>
    <row r="30" customFormat="false" ht="12.75" hidden="false" customHeight="false" outlineLevel="0" collapsed="false">
      <c r="B30" s="19"/>
      <c r="C30" s="15"/>
      <c r="D30" s="15"/>
      <c r="E30" s="15"/>
      <c r="F30" s="15"/>
      <c r="G30" s="15"/>
      <c r="H30" s="15"/>
      <c r="I30" s="15"/>
      <c r="J30" s="18"/>
    </row>
    <row r="31" customFormat="false" ht="13.5" hidden="false" customHeight="false" outlineLevel="0" collapsed="false">
      <c r="B31" s="34"/>
      <c r="C31" s="35"/>
      <c r="D31" s="35"/>
      <c r="E31" s="35"/>
      <c r="F31" s="35"/>
      <c r="G31" s="35"/>
      <c r="H31" s="35"/>
      <c r="I31" s="35"/>
      <c r="J31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8.99"/>
    <col collapsed="false" customWidth="true" hidden="false" outlineLevel="0" max="2" min="2" style="1" width="11.87"/>
    <col collapsed="false" customWidth="true" hidden="false" outlineLevel="0" max="3" min="3" style="1" width="9.49"/>
    <col collapsed="false" customWidth="true" hidden="false" outlineLevel="0" max="4" min="4" style="1" width="13.37"/>
    <col collapsed="false" customWidth="true" hidden="false" outlineLevel="0" max="5" min="5" style="1" width="11.49"/>
    <col collapsed="false" customWidth="true" hidden="false" outlineLevel="0" max="9" min="6" style="1" width="9.24"/>
    <col collapsed="false" customWidth="false" hidden="false" outlineLevel="0" max="257" min="10" style="1" width="7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B2" s="3" t="s">
        <v>1</v>
      </c>
    </row>
    <row r="3" customFormat="false" ht="12.75" hidden="false" customHeight="false" outlineLevel="0" collapsed="false">
      <c r="B3" s="3" t="s">
        <v>2</v>
      </c>
    </row>
    <row r="4" customFormat="false" ht="12.75" hidden="false" customHeight="false" outlineLevel="0" collapsed="false">
      <c r="B4" s="3" t="s">
        <v>3</v>
      </c>
    </row>
    <row r="5" customFormat="false" ht="12.75" hidden="false" customHeight="false" outlineLevel="0" collapsed="false">
      <c r="B5" s="3" t="s">
        <v>4</v>
      </c>
      <c r="D5" s="4" t="n">
        <v>363.5</v>
      </c>
    </row>
    <row r="6" customFormat="false" ht="12.75" hidden="false" customHeight="false" outlineLevel="0" collapsed="false">
      <c r="B6" s="5" t="s">
        <v>5</v>
      </c>
      <c r="D6" s="4" t="n">
        <f aca="false">384-45</f>
        <v>339</v>
      </c>
      <c r="E6" s="1" t="s">
        <v>6</v>
      </c>
      <c r="F6" s="1" t="s">
        <v>7</v>
      </c>
    </row>
    <row r="7" customFormat="false" ht="12.75" hidden="false" customHeight="false" outlineLevel="0" collapsed="false">
      <c r="B7" s="5" t="s">
        <v>8</v>
      </c>
      <c r="D7" s="6" t="n">
        <v>30</v>
      </c>
      <c r="E7" s="1" t="s">
        <v>9</v>
      </c>
    </row>
    <row r="8" customFormat="false" ht="12.75" hidden="false" customHeight="false" outlineLevel="0" collapsed="false">
      <c r="B8" s="5" t="s">
        <v>21</v>
      </c>
      <c r="D8" s="4" t="n">
        <f aca="false">D6/D7</f>
        <v>11.3</v>
      </c>
    </row>
    <row r="9" customFormat="false" ht="12.75" hidden="false" customHeight="false" outlineLevel="0" collapsed="false">
      <c r="B9" s="5"/>
      <c r="D9" s="4"/>
    </row>
    <row r="10" customFormat="false" ht="12.75" hidden="false" customHeight="false" outlineLevel="0" collapsed="false">
      <c r="B10" s="5"/>
      <c r="D10" s="4"/>
    </row>
    <row r="11" customFormat="false" ht="13.5" hidden="false" customHeight="false" outlineLevel="0" collapsed="false"/>
    <row r="12" customFormat="false" ht="12.75" hidden="false" customHeight="false" outlineLevel="0" collapsed="false">
      <c r="B12" s="11"/>
      <c r="C12" s="12"/>
      <c r="D12" s="12"/>
      <c r="E12" s="12"/>
      <c r="F12" s="12"/>
      <c r="G12" s="12"/>
      <c r="H12" s="12"/>
      <c r="I12" s="12"/>
      <c r="J12" s="13"/>
    </row>
    <row r="13" customFormat="false" ht="12.75" hidden="false" customHeight="false" outlineLevel="0" collapsed="false">
      <c r="B13" s="37" t="s">
        <v>22</v>
      </c>
      <c r="C13" s="15"/>
      <c r="D13" s="16" t="n">
        <v>0.0488</v>
      </c>
      <c r="E13" s="17" t="n">
        <f aca="false">DiscRate-0.0025</f>
        <v>0.0463</v>
      </c>
      <c r="F13" s="17" t="n">
        <f aca="false">DiscRate-0.005</f>
        <v>0.0438</v>
      </c>
      <c r="G13" s="17" t="n">
        <f aca="false">DiscRate+0.0025</f>
        <v>0.0513</v>
      </c>
      <c r="H13" s="17" t="n">
        <f aca="false">DiscRate+0.005</f>
        <v>0.0538</v>
      </c>
      <c r="I13" s="17" t="n">
        <f aca="false">DiscRate+0.0075</f>
        <v>0.0563</v>
      </c>
      <c r="J13" s="18"/>
    </row>
    <row r="14" customFormat="false" ht="12.75" hidden="false" customHeight="false" outlineLevel="0" collapsed="false">
      <c r="B14" s="37" t="s">
        <v>10</v>
      </c>
      <c r="C14" s="15"/>
      <c r="D14" s="38" t="n">
        <v>0.057</v>
      </c>
      <c r="E14" s="39" t="n">
        <f aca="false">discrate2+($D$14-DiscRate)</f>
        <v>0.0545</v>
      </c>
      <c r="F14" s="39" t="n">
        <f aca="false">DiscRate3+($D$14-DiscRate)</f>
        <v>0.052</v>
      </c>
      <c r="G14" s="39" t="n">
        <f aca="false">DiscRate4+($D$14-DiscRate)</f>
        <v>0.0595</v>
      </c>
      <c r="H14" s="39" t="n">
        <f aca="false">DiscRate5+($D$14-DiscRate)</f>
        <v>0.062</v>
      </c>
      <c r="I14" s="39" t="n">
        <f aca="false">DiscRate6+($D$14-DiscRate)</f>
        <v>0.0645</v>
      </c>
      <c r="J14" s="18"/>
    </row>
    <row r="15" customFormat="false" ht="12.75" hidden="false" customHeight="false" outlineLevel="0" collapsed="false">
      <c r="B15" s="19"/>
      <c r="C15" s="15"/>
      <c r="D15" s="25"/>
      <c r="E15" s="15"/>
      <c r="F15" s="15"/>
      <c r="G15" s="15"/>
      <c r="H15" s="15"/>
      <c r="I15" s="15"/>
      <c r="J15" s="18"/>
    </row>
    <row r="16" customFormat="false" ht="12.75" hidden="false" customHeight="false" outlineLevel="0" collapsed="false">
      <c r="B16" s="14" t="s">
        <v>11</v>
      </c>
      <c r="C16" s="15"/>
      <c r="D16" s="20"/>
      <c r="E16" s="20"/>
      <c r="F16" s="20"/>
      <c r="G16" s="20"/>
      <c r="H16" s="20"/>
      <c r="I16" s="20"/>
      <c r="J16" s="18"/>
    </row>
    <row r="17" customFormat="false" ht="12.75" hidden="false" customHeight="false" outlineLevel="0" collapsed="false">
      <c r="B17" s="19"/>
      <c r="C17" s="15" t="s">
        <v>12</v>
      </c>
      <c r="D17" s="22" t="n">
        <v>0.6</v>
      </c>
      <c r="E17" s="23" t="n">
        <f aca="false">$D$17</f>
        <v>0.6</v>
      </c>
      <c r="F17" s="23" t="n">
        <f aca="false">$D$17</f>
        <v>0.6</v>
      </c>
      <c r="G17" s="23" t="n">
        <f aca="false">$D$17</f>
        <v>0.6</v>
      </c>
      <c r="H17" s="23" t="n">
        <f aca="false">$D$17</f>
        <v>0.6</v>
      </c>
      <c r="I17" s="23" t="n">
        <f aca="false">$D$17</f>
        <v>0.6</v>
      </c>
      <c r="J17" s="18"/>
    </row>
    <row r="18" customFormat="false" ht="12.75" hidden="false" customHeight="false" outlineLevel="0" collapsed="false">
      <c r="B18" s="19"/>
      <c r="C18" s="15" t="s">
        <v>13</v>
      </c>
      <c r="D18" s="22" t="n">
        <f aca="false">D17/POWER(1+DiscRate,21.5)</f>
        <v>0.215406427835624</v>
      </c>
      <c r="E18" s="23" t="n">
        <f aca="false">E17/POWER(1+discrate2,21.5)</f>
        <v>0.226747447039821</v>
      </c>
      <c r="F18" s="23" t="n">
        <f aca="false">F17/POWER(1+DiscRate3,21.5)</f>
        <v>0.238714863592567</v>
      </c>
      <c r="G18" s="23" t="n">
        <f aca="false">G17/POWER(1+DiscRate4,21.5)</f>
        <v>0.204657641750197</v>
      </c>
      <c r="H18" s="23" t="n">
        <f aca="false">H17/POWER(1+DiscRate5,21.5)</f>
        <v>0.194468862674471</v>
      </c>
      <c r="I18" s="23" t="n">
        <f aca="false">I17/POWER(1+DiscRate6,21.5)</f>
        <v>0.184809688449121</v>
      </c>
      <c r="J18" s="18"/>
    </row>
    <row r="19" customFormat="false" ht="12.75" hidden="false" customHeight="false" outlineLevel="0" collapsed="false">
      <c r="B19" s="19"/>
      <c r="C19" s="15"/>
      <c r="D19" s="31"/>
      <c r="E19" s="31"/>
      <c r="F19" s="31"/>
      <c r="G19" s="31"/>
      <c r="H19" s="31"/>
      <c r="I19" s="31"/>
      <c r="J19" s="18"/>
    </row>
    <row r="20" customFormat="false" ht="12.75" hidden="false" customHeight="false" outlineLevel="0" collapsed="false">
      <c r="B20" s="19" t="s">
        <v>14</v>
      </c>
      <c r="C20" s="15"/>
      <c r="D20" s="15"/>
      <c r="E20" s="15"/>
      <c r="F20" s="15"/>
      <c r="G20" s="15"/>
      <c r="H20" s="15"/>
      <c r="I20" s="15"/>
      <c r="J20" s="18"/>
    </row>
    <row r="21" customFormat="false" ht="12.75" hidden="false" customHeight="false" outlineLevel="0" collapsed="false">
      <c r="B21" s="19"/>
      <c r="C21" s="26" t="s">
        <v>15</v>
      </c>
      <c r="D21" s="4" t="n">
        <v>339</v>
      </c>
      <c r="E21" s="15"/>
      <c r="F21" s="15"/>
      <c r="G21" s="15"/>
      <c r="H21" s="15"/>
      <c r="I21" s="15"/>
      <c r="J21" s="18"/>
      <c r="K21" s="9"/>
    </row>
    <row r="22" customFormat="false" ht="12.75" hidden="false" customHeight="false" outlineLevel="0" collapsed="false">
      <c r="B22" s="27"/>
      <c r="C22" s="28" t="s">
        <v>16</v>
      </c>
      <c r="D22" s="4" t="n">
        <f aca="false">-PV(DiscRate/12,$D$7,$D$6/$D$7,,0)</f>
        <v>318.528351536298</v>
      </c>
      <c r="E22" s="4" t="n">
        <f aca="false">-PV(discrate2/12,$D$7,$D$6/$D$7,,0)</f>
        <v>319.534881633226</v>
      </c>
      <c r="F22" s="4" t="n">
        <f aca="false">-PV(DiscRate3/12,$D$7,$D$6/$D$7,,0)</f>
        <v>320.54583590625</v>
      </c>
      <c r="G22" s="4" t="n">
        <f aca="false">-PV(DiscRate4/12,$D$7,$D$6/$D$7,,0)</f>
        <v>317.526223082538</v>
      </c>
      <c r="H22" s="4" t="n">
        <f aca="false">-PV(DiscRate5/12,$D$7,$D$6/$D$7,,0)</f>
        <v>316.528473865329</v>
      </c>
      <c r="I22" s="4" t="n">
        <f aca="false">-PV(DiscRate6/12,$D$7,$D$6/$D$7,,0)</f>
        <v>315.535081603604</v>
      </c>
      <c r="J22" s="18"/>
      <c r="K22" s="9"/>
    </row>
    <row r="23" customFormat="false" ht="12.75" hidden="false" customHeight="false" outlineLevel="0" collapsed="false">
      <c r="B23" s="27"/>
      <c r="C23" s="28"/>
      <c r="D23" s="25"/>
      <c r="E23" s="25"/>
      <c r="F23" s="25"/>
      <c r="G23" s="25"/>
      <c r="H23" s="25"/>
      <c r="I23" s="25"/>
      <c r="J23" s="18"/>
      <c r="K23" s="9"/>
    </row>
    <row r="24" customFormat="false" ht="12.75" hidden="false" customHeight="false" outlineLevel="0" collapsed="false">
      <c r="B24" s="40" t="s">
        <v>23</v>
      </c>
      <c r="C24" s="28"/>
      <c r="D24" s="25"/>
      <c r="E24" s="25"/>
      <c r="F24" s="25"/>
      <c r="G24" s="25"/>
      <c r="H24" s="25"/>
      <c r="I24" s="25"/>
      <c r="J24" s="18"/>
      <c r="K24" s="9"/>
    </row>
    <row r="25" customFormat="false" ht="12.75" hidden="false" customHeight="false" outlineLevel="0" collapsed="false">
      <c r="B25" s="40" t="s">
        <v>24</v>
      </c>
      <c r="C25" s="28"/>
      <c r="D25" s="4" t="n">
        <f aca="false">'[1]tax rev'!C23/1000000</f>
        <v>350.472549334452</v>
      </c>
      <c r="E25" s="4" t="n">
        <f aca="false">'[1]tax rev'!D23/1000000</f>
        <v>358.008851154605</v>
      </c>
      <c r="F25" s="4" t="n">
        <f aca="false">'[1]tax rev'!E23/1000000</f>
        <v>365.788328825356</v>
      </c>
      <c r="G25" s="4" t="n">
        <f aca="false">'[1]tax rev'!F23/1000000</f>
        <v>343.170429281532</v>
      </c>
      <c r="H25" s="4" t="n">
        <f aca="false">'[1]tax rev'!G23/1000000</f>
        <v>336.093868374683</v>
      </c>
      <c r="I25" s="4" t="n">
        <f aca="false">'[1]tax rev'!H23/1000000</f>
        <v>329.234598777658</v>
      </c>
      <c r="J25" s="18"/>
      <c r="K25" s="9"/>
    </row>
    <row r="26" customFormat="false" ht="12.75" hidden="false" customHeight="false" outlineLevel="0" collapsed="false">
      <c r="B26" s="19" t="s">
        <v>25</v>
      </c>
      <c r="C26" s="25"/>
      <c r="D26" s="4" t="n">
        <f aca="false">('[1]tax rev'!C23/(D14/DiscRate*(1-POWER(1+DiscRate,-20))+POWER(1+DiscRate,-20)))/1000000</f>
        <v>317.676301817471</v>
      </c>
      <c r="E26" s="4" t="n">
        <f aca="false">('[1]tax rev'!D23/(E14/discrate2*(1-POWER(1+discrate2,-20))+POWER(1+discrate2,-20)))/1000000</f>
        <v>323.851102761966</v>
      </c>
      <c r="F26" s="4" t="n">
        <f aca="false">('[1]tax rev'!E23/(F14/DiscRate3*(1-POWER(1+DiscRate3,-20))+POWER(1+DiscRate3,-20)))/1000000</f>
        <v>330.198567753616</v>
      </c>
      <c r="G26" s="4" t="n">
        <f aca="false">('[1]tax rev'!F23/(G14/DiscRate4*(1-POWER(1+DiscRate4,-20))+POWER(1+DiscRate4,-20)))/1000000</f>
        <v>311.669087583747</v>
      </c>
      <c r="H26" s="4" t="n">
        <f aca="false">('[1]tax rev'!G23/(H14/DiscRate5*(1-POWER(1+DiscRate5,-20))+POWER(1+DiscRate5,-20)))/1000000</f>
        <v>305.82451845255</v>
      </c>
      <c r="I26" s="4" t="n">
        <f aca="false">('[1]tax rev'!H23/(I14/DiscRate6*(1-POWER(1+DiscRate6,-20))+POWER(1+DiscRate6,-20)))/1000000</f>
        <v>300.13778682579</v>
      </c>
      <c r="J26" s="18"/>
      <c r="K26" s="9"/>
    </row>
    <row r="27" customFormat="false" ht="12.75" hidden="false" customHeight="false" outlineLevel="0" collapsed="false">
      <c r="B27" s="19"/>
      <c r="C27" s="15"/>
      <c r="D27" s="31"/>
      <c r="E27" s="15"/>
      <c r="F27" s="15"/>
      <c r="G27" s="15"/>
      <c r="H27" s="15"/>
      <c r="I27" s="15"/>
      <c r="J27" s="18"/>
      <c r="K27" s="29"/>
    </row>
    <row r="28" customFormat="false" ht="12.75" hidden="false" customHeight="false" outlineLevel="0" collapsed="false">
      <c r="B28" s="19" t="s">
        <v>17</v>
      </c>
      <c r="C28" s="15"/>
      <c r="D28" s="15"/>
      <c r="E28" s="15"/>
      <c r="F28" s="15"/>
      <c r="G28" s="15"/>
      <c r="H28" s="15"/>
      <c r="I28" s="15"/>
      <c r="J28" s="18"/>
      <c r="K28" s="29"/>
    </row>
    <row r="29" customFormat="false" ht="12.75" hidden="false" customHeight="false" outlineLevel="0" collapsed="false">
      <c r="B29" s="19"/>
      <c r="C29" s="15" t="s">
        <v>18</v>
      </c>
      <c r="D29" s="29"/>
      <c r="E29" s="41"/>
      <c r="F29" s="41"/>
      <c r="G29" s="41"/>
      <c r="H29" s="41"/>
      <c r="I29" s="41"/>
      <c r="J29" s="18"/>
    </row>
    <row r="30" customFormat="false" ht="12.75" hidden="false" customHeight="false" outlineLevel="0" collapsed="false">
      <c r="B30" s="19"/>
      <c r="C30" s="30" t="s">
        <v>26</v>
      </c>
      <c r="D30" s="4" t="n">
        <f aca="false">PV(DiscRate/2,40,-0.35)</f>
        <v>8.87541966826759</v>
      </c>
      <c r="E30" s="4" t="n">
        <f aca="false">PV(discrate2/2,40,-0.35)</f>
        <v>9.06615242160244</v>
      </c>
      <c r="F30" s="4" t="n">
        <f aca="false">PV(DiscRate3/2,40,-0.35)</f>
        <v>9.26299317600685</v>
      </c>
      <c r="G30" s="4" t="n">
        <f aca="false">PV(DiscRate4/2,40,-0.35)</f>
        <v>8.69057052758831</v>
      </c>
      <c r="H30" s="4" t="n">
        <f aca="false">PV(DiscRate5/2,40,-0.35)</f>
        <v>8.51138973013206</v>
      </c>
      <c r="I30" s="4" t="n">
        <f aca="false">PV(DiscRate6/2,40,-0.35)</f>
        <v>8.33767072778593</v>
      </c>
      <c r="J30" s="18"/>
    </row>
    <row r="31" customFormat="false" ht="12.75" hidden="false" customHeight="false" outlineLevel="0" collapsed="false">
      <c r="B31" s="14"/>
      <c r="C31" s="30" t="s">
        <v>13</v>
      </c>
      <c r="D31" s="4" t="n">
        <f aca="false">D30/POWER(1+DiscRate,20/12)</f>
        <v>8.19787137122852</v>
      </c>
      <c r="E31" s="4" t="n">
        <f aca="false">E30/POWER(1+discrate2,20/12)</f>
        <v>8.40741800916472</v>
      </c>
      <c r="F31" s="4" t="n">
        <f aca="false">F30/POWER(1+DiscRate3,20/12)</f>
        <v>8.62427354927647</v>
      </c>
      <c r="G31" s="4" t="n">
        <f aca="false">G30/POWER(1+DiscRate4,20/12)</f>
        <v>7.99534449745462</v>
      </c>
      <c r="H31" s="4" t="n">
        <f aca="false">H30/POWER(1+DiscRate5,20/12)</f>
        <v>7.79956089659368</v>
      </c>
      <c r="I31" s="4" t="n">
        <f aca="false">I30/POWER(1+DiscRate6,20/12)</f>
        <v>7.61025613034592</v>
      </c>
      <c r="J31" s="18"/>
    </row>
    <row r="32" customFormat="false" ht="12.75" hidden="false" customHeight="false" outlineLevel="0" collapsed="false">
      <c r="B32" s="14"/>
      <c r="C32" s="15"/>
      <c r="D32" s="15"/>
      <c r="E32" s="15"/>
      <c r="F32" s="15"/>
      <c r="G32" s="15"/>
      <c r="H32" s="15"/>
      <c r="I32" s="15"/>
      <c r="J32" s="18"/>
    </row>
    <row r="33" customFormat="false" ht="12.75" hidden="false" customHeight="false" outlineLevel="0" collapsed="false">
      <c r="B33" s="14" t="s">
        <v>20</v>
      </c>
      <c r="C33" s="15"/>
      <c r="D33" s="4" t="n">
        <f aca="false">D18+D31+D26-D22</f>
        <v>7.56122808023713</v>
      </c>
      <c r="E33" s="4" t="n">
        <f aca="false">E18+E31+E26-E22</f>
        <v>12.9503865849439</v>
      </c>
      <c r="F33" s="4" t="n">
        <f aca="false">F18+F31+F26-F22</f>
        <v>18.5157202602346</v>
      </c>
      <c r="G33" s="4" t="n">
        <f aca="false">G18+G31+G26-G22</f>
        <v>2.3428666404144</v>
      </c>
      <c r="H33" s="4" t="n">
        <f aca="false">H18+H31+H26-H22</f>
        <v>-2.7099256535106</v>
      </c>
      <c r="I33" s="4" t="n">
        <f aca="false">I18+I31+I26-I22</f>
        <v>-7.60222895901876</v>
      </c>
      <c r="J33" s="18"/>
    </row>
    <row r="34" customFormat="false" ht="12.75" hidden="false" customHeight="false" outlineLevel="0" collapsed="false">
      <c r="B34" s="14"/>
      <c r="C34" s="15"/>
      <c r="D34" s="31"/>
      <c r="E34" s="31"/>
      <c r="F34" s="31"/>
      <c r="G34" s="31"/>
      <c r="H34" s="31"/>
      <c r="I34" s="31"/>
      <c r="J34" s="18"/>
    </row>
    <row r="35" customFormat="false" ht="13.5" hidden="false" customHeight="false" outlineLevel="0" collapsed="false">
      <c r="B35" s="34"/>
      <c r="C35" s="35"/>
      <c r="D35" s="35"/>
      <c r="E35" s="35"/>
      <c r="F35" s="35"/>
      <c r="G35" s="35"/>
      <c r="H35" s="35"/>
      <c r="I35" s="35"/>
      <c r="J3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0.66796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Roman,Bold"&amp;A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0.66796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0.66796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7.9921875" defaultRowHeight="12.75" customHeight="true" zeroHeight="false" outlineLevelRow="0" outlineLevelCol="0"/>
  <cols>
    <col collapsed="false" customWidth="false" hidden="false" outlineLevel="0" max="1" min="1" style="42" width="7.99"/>
    <col collapsed="false" customWidth="true" hidden="false" outlineLevel="0" max="2" min="2" style="42" width="15.49"/>
    <col collapsed="false" customWidth="true" hidden="false" outlineLevel="0" max="8" min="3" style="42" width="13.24"/>
    <col collapsed="false" customWidth="false" hidden="false" outlineLevel="0" max="257" min="9" style="42" width="7.99"/>
  </cols>
  <sheetData>
    <row r="1" customFormat="false" ht="12.75" hidden="false" customHeight="false" outlineLevel="0" collapsed="false">
      <c r="A1" s="43"/>
      <c r="B1" s="43"/>
      <c r="C1" s="44" t="s">
        <v>27</v>
      </c>
      <c r="D1" s="44"/>
      <c r="E1" s="44"/>
      <c r="F1" s="44"/>
      <c r="G1" s="44"/>
      <c r="H1" s="44"/>
    </row>
    <row r="2" customFormat="false" ht="13.5" hidden="false" customHeight="false" outlineLevel="0" collapsed="false">
      <c r="A2" s="45" t="s">
        <v>28</v>
      </c>
      <c r="B2" s="46" t="s">
        <v>29</v>
      </c>
      <c r="C2" s="47" t="n">
        <f aca="false">'[2]facts premium'!C16</f>
        <v>0.057</v>
      </c>
      <c r="D2" s="47" t="n">
        <f aca="false">'[2]facts premium'!D16</f>
        <v>0.0545</v>
      </c>
      <c r="E2" s="47" t="n">
        <f aca="false">'[2]facts premium'!E16</f>
        <v>0.052</v>
      </c>
      <c r="F2" s="47" t="n">
        <f aca="false">'[2]facts premium'!F16</f>
        <v>0.0595</v>
      </c>
      <c r="G2" s="47" t="n">
        <f aca="false">'[2]facts premium'!G16</f>
        <v>0.062</v>
      </c>
      <c r="H2" s="47" t="n">
        <f aca="false">'[2]facts premium'!H16</f>
        <v>0.0645</v>
      </c>
    </row>
    <row r="3" customFormat="false" ht="13.5" hidden="false" customHeight="false" outlineLevel="0" collapsed="false">
      <c r="A3" s="48" t="n">
        <v>1996</v>
      </c>
      <c r="B3" s="49" t="n">
        <v>4602104</v>
      </c>
      <c r="C3" s="49" t="n">
        <f aca="false">$B3/(POWER(1+'[2]facts premium'!C$16,($A3-1996.5)))</f>
        <v>4731446.37682226</v>
      </c>
      <c r="D3" s="49" t="n">
        <f aca="false">$B3/(POWER(1+'[2]facts premium'!D$16,($A3-1996.5)))</f>
        <v>4725847.69260262</v>
      </c>
      <c r="E3" s="49" t="n">
        <f aca="false">$B3/(POWER(1+'[2]facts premium'!E$16,($A3-1996.5)))</f>
        <v>4720242.36778266</v>
      </c>
      <c r="F3" s="49" t="n">
        <f aca="false">$B3/(POWER(1+'[2]facts premium'!F$16,($A3-1996.5)))</f>
        <v>4737038.44398708</v>
      </c>
      <c r="G3" s="49" t="n">
        <f aca="false">$B3/(POWER(1+'[2]facts premium'!G$16,($A3-1996.5)))</f>
        <v>4742623.91750375</v>
      </c>
      <c r="H3" s="49" t="n">
        <f aca="false">$B3/(POWER(1+'[2]facts premium'!H$16,($A3-1996.5)))</f>
        <v>4748202.82064126</v>
      </c>
    </row>
    <row r="4" customFormat="false" ht="12.75" hidden="false" customHeight="false" outlineLevel="0" collapsed="false">
      <c r="A4" s="48" t="n">
        <v>1997</v>
      </c>
      <c r="B4" s="49" t="n">
        <v>19893231</v>
      </c>
      <c r="C4" s="49" t="n">
        <f aca="false">$B4/(POWER(1+'[2]facts premium'!C$16,($A4-1996.5)))</f>
        <v>19349414.6750769</v>
      </c>
      <c r="D4" s="49" t="n">
        <f aca="false">$B4/(POWER(1+'[2]facts premium'!D$16,($A4-1996.5)))</f>
        <v>19372337.8138759</v>
      </c>
      <c r="E4" s="49" t="n">
        <f aca="false">$B4/(POWER(1+'[2]facts premium'!E$16,($A4-1996.5)))</f>
        <v>19395342.6169153</v>
      </c>
      <c r="F4" s="49" t="n">
        <f aca="false">$B4/(POWER(1+'[2]facts premium'!F$16,($A4-1996.5)))</f>
        <v>19326572.7184953</v>
      </c>
      <c r="G4" s="49" t="n">
        <f aca="false">$B4/(POWER(1+'[2]facts premium'!G$16,($A4-1996.5)))</f>
        <v>19303811.4660821</v>
      </c>
      <c r="H4" s="49" t="n">
        <f aca="false">$B4/(POWER(1+'[2]facts premium'!H$16,($A4-1996.5)))</f>
        <v>19281130.4437201</v>
      </c>
    </row>
    <row r="5" customFormat="false" ht="12.75" hidden="false" customHeight="false" outlineLevel="0" collapsed="false">
      <c r="A5" s="48" t="n">
        <v>1998</v>
      </c>
      <c r="B5" s="49" t="n">
        <v>20428789</v>
      </c>
      <c r="C5" s="49" t="n">
        <f aca="false">$B5/(POWER(1+'[2]facts premium'!C$16,($A5-1996.5)))</f>
        <v>18798800.6232539</v>
      </c>
      <c r="D5" s="49" t="n">
        <f aca="false">$B5/(POWER(1+'[2]facts premium'!D$16,($A5-1996.5)))</f>
        <v>18865692.2954992</v>
      </c>
      <c r="E5" s="49" t="n">
        <f aca="false">$B5/(POWER(1+'[2]facts premium'!E$16,($A5-1996.5)))</f>
        <v>18932981.6114092</v>
      </c>
      <c r="F5" s="49" t="n">
        <f aca="false">$B5/(POWER(1+'[2]facts premium'!F$16,($A5-1996.5)))</f>
        <v>18732303.3126276</v>
      </c>
      <c r="G5" s="49" t="n">
        <f aca="false">$B5/(POWER(1+'[2]facts premium'!G$16,($A5-1996.5)))</f>
        <v>18666197.116322</v>
      </c>
      <c r="H5" s="49" t="n">
        <f aca="false">$B5/(POWER(1+'[2]facts premium'!H$16,($A5-1996.5)))</f>
        <v>18600478.8213368</v>
      </c>
    </row>
    <row r="6" customFormat="false" ht="12.75" hidden="false" customHeight="false" outlineLevel="0" collapsed="false">
      <c r="A6" s="48" t="n">
        <v>1999</v>
      </c>
      <c r="B6" s="49" t="n">
        <v>24715328</v>
      </c>
      <c r="C6" s="49" t="n">
        <f aca="false">$B6/(POWER(1+'[2]facts premium'!C$16,($A6-1996.5)))</f>
        <v>21516860.7934653</v>
      </c>
      <c r="D6" s="49" t="n">
        <f aca="false">$B6/(POWER(1+'[2]facts premium'!D$16,($A6-1996.5)))</f>
        <v>21644617.6385632</v>
      </c>
      <c r="E6" s="49" t="n">
        <f aca="false">$B6/(POWER(1+'[2]facts premium'!E$16,($A6-1996.5)))</f>
        <v>21773438.9939294</v>
      </c>
      <c r="F6" s="49" t="n">
        <f aca="false">$B6/(POWER(1+'[2]facts premium'!F$16,($A6-1996.5)))</f>
        <v>21390157.175447</v>
      </c>
      <c r="G6" s="49" t="n">
        <f aca="false">$B6/(POWER(1+'[2]facts premium'!G$16,($A6-1996.5)))</f>
        <v>21264495.6471477</v>
      </c>
      <c r="H6" s="49" t="n">
        <f aca="false">$B6/(POWER(1+'[2]facts premium'!H$16,($A6-1996.5)))</f>
        <v>21139865.214813</v>
      </c>
    </row>
    <row r="7" customFormat="false" ht="12.75" hidden="false" customHeight="false" outlineLevel="0" collapsed="false">
      <c r="A7" s="48" t="n">
        <v>2000</v>
      </c>
      <c r="B7" s="49" t="n">
        <v>25091313</v>
      </c>
      <c r="C7" s="49" t="n">
        <f aca="false">$B7/(POWER(1+'[2]facts premium'!C$16,($A7-1996.5)))</f>
        <v>20666214.4876328</v>
      </c>
      <c r="D7" s="49" t="n">
        <f aca="false">$B7/(POWER(1+'[2]facts premium'!D$16,($A7-1996.5)))</f>
        <v>20838206.8045665</v>
      </c>
      <c r="E7" s="49" t="n">
        <f aca="false">$B7/(POWER(1+'[2]facts premium'!E$16,($A7-1996.5)))</f>
        <v>21012043.8608995</v>
      </c>
      <c r="F7" s="49" t="n">
        <f aca="false">$B7/(POWER(1+'[2]facts premium'!F$16,($A7-1996.5)))</f>
        <v>20496043.0399883</v>
      </c>
      <c r="G7" s="49" t="n">
        <f aca="false">$B7/(POWER(1+'[2]facts premium'!G$16,($A7-1996.5)))</f>
        <v>20327668.9556929</v>
      </c>
      <c r="H7" s="49" t="n">
        <f aca="false">$B7/(POWER(1+'[2]facts premium'!H$16,($A7-1996.5)))</f>
        <v>20161069.0865798</v>
      </c>
    </row>
    <row r="8" customFormat="false" ht="12.75" hidden="false" customHeight="false" outlineLevel="0" collapsed="false">
      <c r="A8" s="48" t="n">
        <v>2001</v>
      </c>
      <c r="B8" s="49" t="n">
        <v>25488810</v>
      </c>
      <c r="C8" s="49" t="n">
        <f aca="false">$B8/(POWER(1+'[2]facts premium'!C$16,($A8-1996.5)))</f>
        <v>19861503.3141202</v>
      </c>
      <c r="D8" s="49" t="n">
        <f aca="false">$B8/(POWER(1+'[2]facts premium'!D$16,($A8-1996.5)))</f>
        <v>20074277.8806248</v>
      </c>
      <c r="E8" s="49" t="n">
        <f aca="false">$B8/(POWER(1+'[2]facts premium'!E$16,($A8-1996.5)))</f>
        <v>20289845.0674946</v>
      </c>
      <c r="F8" s="49" t="n">
        <f aca="false">$B8/(POWER(1+'[2]facts premium'!F$16,($A8-1996.5)))</f>
        <v>19651478.7130365</v>
      </c>
      <c r="G8" s="49" t="n">
        <f aca="false">$B8/(POWER(1+'[2]facts premium'!G$16,($A8-1996.5)))</f>
        <v>19444162.1724187</v>
      </c>
      <c r="H8" s="49" t="n">
        <f aca="false">$B8/(POWER(1+'[2]facts premium'!H$16,($A8-1996.5)))</f>
        <v>19239512.5223899</v>
      </c>
    </row>
    <row r="9" customFormat="false" ht="12.75" hidden="false" customHeight="false" outlineLevel="0" collapsed="false">
      <c r="A9" s="48" t="n">
        <v>2002</v>
      </c>
      <c r="B9" s="49" t="n">
        <v>26244265</v>
      </c>
      <c r="C9" s="49" t="n">
        <f aca="false">$B9/(POWER(1+'[2]facts premium'!C$16,($A9-1996.5)))</f>
        <v>19347372.09276</v>
      </c>
      <c r="D9" s="49" t="n">
        <f aca="false">$B9/(POWER(1+'[2]facts premium'!D$16,($A9-1996.5)))</f>
        <v>19600998.7942016</v>
      </c>
      <c r="E9" s="49" t="n">
        <f aca="false">$B9/(POWER(1+'[2]facts premium'!E$16,($A9-1996.5)))</f>
        <v>19858564.2061835</v>
      </c>
      <c r="F9" s="49" t="n">
        <f aca="false">$B9/(POWER(1+'[2]facts premium'!F$16,($A9-1996.5)))</f>
        <v>19097614.7677295</v>
      </c>
      <c r="G9" s="49" t="n">
        <f aca="false">$B9/(POWER(1+'[2]facts premium'!G$16,($A9-1996.5)))</f>
        <v>18851658.8649798</v>
      </c>
      <c r="H9" s="49" t="n">
        <f aca="false">$B9/(POWER(1+'[2]facts premium'!H$16,($A9-1996.5)))</f>
        <v>18609437.7797526</v>
      </c>
    </row>
    <row r="10" customFormat="false" ht="12.75" hidden="false" customHeight="false" outlineLevel="0" collapsed="false">
      <c r="A10" s="48" t="n">
        <v>2003</v>
      </c>
      <c r="B10" s="49" t="n">
        <v>27316484</v>
      </c>
      <c r="C10" s="49" t="n">
        <f aca="false">$B10/(POWER(1+'[2]facts premium'!C$16,($A10-1996.5)))</f>
        <v>19051860.0022999</v>
      </c>
      <c r="D10" s="49" t="n">
        <f aca="false">$B10/(POWER(1+'[2]facts premium'!D$16,($A10-1996.5)))</f>
        <v>19347372.9114131</v>
      </c>
      <c r="E10" s="49" t="n">
        <f aca="false">$B10/(POWER(1+'[2]facts premium'!E$16,($A10-1996.5)))</f>
        <v>19648187.3343463</v>
      </c>
      <c r="F10" s="49" t="n">
        <f aca="false">$B10/(POWER(1+'[2]facts premium'!F$16,($A10-1996.5)))</f>
        <v>18761542.9645775</v>
      </c>
      <c r="G10" s="49" t="n">
        <f aca="false">$B10/(POWER(1+'[2]facts premium'!G$16,($A10-1996.5)))</f>
        <v>18476318.503089</v>
      </c>
      <c r="H10" s="49" t="n">
        <f aca="false">$B10/(POWER(1+'[2]facts premium'!H$16,($A10-1996.5)))</f>
        <v>18196085.6124407</v>
      </c>
    </row>
    <row r="11" customFormat="false" ht="12.75" hidden="false" customHeight="false" outlineLevel="0" collapsed="false">
      <c r="A11" s="48" t="n">
        <v>2004</v>
      </c>
      <c r="B11" s="49" t="n">
        <v>28432512</v>
      </c>
      <c r="C11" s="49" t="n">
        <f aca="false">$B11/(POWER(1+'[2]facts premium'!C$16,($A11-1996.5)))</f>
        <v>18760863.6156497</v>
      </c>
      <c r="D11" s="49" t="n">
        <f aca="false">$B11/(POWER(1+'[2]facts premium'!D$16,($A11-1996.5)))</f>
        <v>19097030.8884702</v>
      </c>
      <c r="E11" s="49" t="n">
        <f aca="false">$B11/(POWER(1+'[2]facts premium'!E$16,($A11-1996.5)))</f>
        <v>19440041.2659135</v>
      </c>
      <c r="F11" s="49" t="n">
        <f aca="false">$B11/(POWER(1+'[2]facts premium'!F$16,($A11-1996.5)))</f>
        <v>18431387.2230199</v>
      </c>
      <c r="G11" s="49" t="n">
        <f aca="false">$B11/(POWER(1+'[2]facts premium'!G$16,($A11-1996.5)))</f>
        <v>18108453.2200618</v>
      </c>
      <c r="H11" s="49" t="n">
        <f aca="false">$B11/(POWER(1+'[2]facts premium'!H$16,($A11-1996.5)))</f>
        <v>17791916.7500915</v>
      </c>
    </row>
    <row r="12" customFormat="false" ht="12.75" hidden="false" customHeight="false" outlineLevel="0" collapsed="false">
      <c r="A12" s="48" t="n">
        <v>2005</v>
      </c>
      <c r="B12" s="49" t="n">
        <v>29594139</v>
      </c>
      <c r="C12" s="49" t="n">
        <f aca="false">$B12/(POWER(1+'[2]facts premium'!C$16,($A12-1996.5)))</f>
        <v>18474313.8435605</v>
      </c>
      <c r="D12" s="49" t="n">
        <f aca="false">$B12/(POWER(1+'[2]facts premium'!D$16,($A12-1996.5)))</f>
        <v>18849930.1252799</v>
      </c>
      <c r="E12" s="49" t="n">
        <f aca="false">$B12/(POWER(1+'[2]facts premium'!E$16,($A12-1996.5)))</f>
        <v>19234102.2673564</v>
      </c>
      <c r="F12" s="49" t="n">
        <f aca="false">$B12/(POWER(1+'[2]facts premium'!F$16,($A12-1996.5)))</f>
        <v>18107043.3111988</v>
      </c>
      <c r="G12" s="49" t="n">
        <f aca="false">$B12/(POWER(1+'[2]facts premium'!G$16,($A12-1996.5)))</f>
        <v>17747914.0552132</v>
      </c>
      <c r="H12" s="49" t="n">
        <f aca="false">$B12/(POWER(1+'[2]facts premium'!H$16,($A12-1996.5)))</f>
        <v>17396727.076579</v>
      </c>
    </row>
    <row r="13" customFormat="false" ht="12.75" hidden="false" customHeight="false" outlineLevel="0" collapsed="false">
      <c r="A13" s="48" t="n">
        <v>2006</v>
      </c>
      <c r="B13" s="49" t="n">
        <v>30803229</v>
      </c>
      <c r="C13" s="49" t="n">
        <f aca="false">$B13/(POWER(1+'[2]facts premium'!C$16,($A13-1996.5)))</f>
        <v>18192143.1661757</v>
      </c>
      <c r="D13" s="49" t="n">
        <f aca="false">$B13/(POWER(1+'[2]facts premium'!D$16,($A13-1996.5)))</f>
        <v>18606029.0979804</v>
      </c>
      <c r="E13" s="49" t="n">
        <f aca="false">$B13/(POWER(1+'[2]facts premium'!E$16,($A13-1996.5)))</f>
        <v>19030347.3928008</v>
      </c>
      <c r="F13" s="49" t="n">
        <f aca="false">$B13/(POWER(1+'[2]facts premium'!F$16,($A13-1996.5)))</f>
        <v>17788409.3350376</v>
      </c>
      <c r="G13" s="49" t="n">
        <f aca="false">$B13/(POWER(1+'[2]facts premium'!G$16,($A13-1996.5)))</f>
        <v>17394555.5069872</v>
      </c>
      <c r="H13" s="49" t="n">
        <f aca="false">$B13/(POWER(1+'[2]facts premium'!H$16,($A13-1996.5)))</f>
        <v>17010317.4929246</v>
      </c>
    </row>
    <row r="14" customFormat="false" ht="12.75" hidden="false" customHeight="false" outlineLevel="0" collapsed="false">
      <c r="A14" s="48" t="n">
        <v>2007</v>
      </c>
      <c r="B14" s="49" t="n">
        <v>32061720</v>
      </c>
      <c r="C14" s="49" t="n">
        <f aca="false">$B14/(POWER(1+'[2]facts premium'!C$16,($A14-1996.5)))</f>
        <v>17914283.8096592</v>
      </c>
      <c r="D14" s="49" t="n">
        <f aca="false">$B14/(POWER(1+'[2]facts premium'!D$16,($A14-1996.5)))</f>
        <v>18365285.5052951</v>
      </c>
      <c r="E14" s="49" t="n">
        <f aca="false">$B14/(POWER(1+'[2]facts premium'!E$16,($A14-1996.5)))</f>
        <v>18828752.594637</v>
      </c>
      <c r="F14" s="49" t="n">
        <f aca="false">$B14/(POWER(1+'[2]facts premium'!F$16,($A14-1996.5)))</f>
        <v>17475383.9370369</v>
      </c>
      <c r="G14" s="49" t="n">
        <f aca="false">$B14/(POWER(1+'[2]facts premium'!G$16,($A14-1996.5)))</f>
        <v>17048233.7424007</v>
      </c>
      <c r="H14" s="49" t="n">
        <f aca="false">$B14/(POWER(1+'[2]facts premium'!H$16,($A14-1996.5)))</f>
        <v>16632492.121621</v>
      </c>
    </row>
    <row r="15" customFormat="false" ht="12.75" hidden="false" customHeight="false" outlineLevel="0" collapsed="false">
      <c r="A15" s="48" t="n">
        <v>2008</v>
      </c>
      <c r="B15" s="49" t="n">
        <v>33371633</v>
      </c>
      <c r="C15" s="49" t="n">
        <f aca="false">$B15/(POWER(1+'[2]facts premium'!C$16,($A15-1996.5)))</f>
        <v>17640671.1785069</v>
      </c>
      <c r="D15" s="49" t="n">
        <f aca="false">$B15/(POWER(1+'[2]facts premium'!D$16,($A15-1996.5)))</f>
        <v>18127659.7891892</v>
      </c>
      <c r="E15" s="49" t="n">
        <f aca="false">$B15/(POWER(1+'[2]facts premium'!E$16,($A15-1996.5)))</f>
        <v>18629296.3301364</v>
      </c>
      <c r="F15" s="49" t="n">
        <f aca="false">$B15/(POWER(1+'[2]facts premium'!F$16,($A15-1996.5)))</f>
        <v>17167869.6352239</v>
      </c>
      <c r="G15" s="49" t="n">
        <f aca="false">$B15/(POWER(1+'[2]facts premium'!G$16,($A15-1996.5)))</f>
        <v>16708809.8342332</v>
      </c>
      <c r="H15" s="49" t="n">
        <f aca="false">$B15/(POWER(1+'[2]facts premium'!H$16,($A15-1996.5)))</f>
        <v>16263061.429513</v>
      </c>
    </row>
    <row r="16" customFormat="false" ht="12.75" hidden="false" customHeight="false" outlineLevel="0" collapsed="false">
      <c r="A16" s="48" t="n">
        <v>2009</v>
      </c>
      <c r="B16" s="49" t="n">
        <v>34735066</v>
      </c>
      <c r="C16" s="49" t="n">
        <f aca="false">$B16/(POWER(1+'[2]facts premium'!C$16,($A16-1996.5)))</f>
        <v>17371238.6622038</v>
      </c>
      <c r="D16" s="49" t="n">
        <f aca="false">$B16/(POWER(1+'[2]facts premium'!D$16,($A16-1996.5)))</f>
        <v>17893109.8208687</v>
      </c>
      <c r="E16" s="49" t="n">
        <f aca="false">$B16/(POWER(1+'[2]facts premium'!E$16,($A16-1996.5)))</f>
        <v>18431954.118871</v>
      </c>
      <c r="F16" s="49" t="n">
        <f aca="false">$B16/(POWER(1+'[2]facts premium'!F$16,($A16-1996.5)))</f>
        <v>16865767.7401433</v>
      </c>
      <c r="G16" s="49" t="n">
        <f aca="false">$B16/(POWER(1+'[2]facts premium'!G$16,($A16-1996.5)))</f>
        <v>16376144.7749274</v>
      </c>
      <c r="H16" s="49" t="n">
        <f aca="false">$B16/(POWER(1+'[2]facts premium'!H$16,($A16-1996.5)))</f>
        <v>15901837.3213374</v>
      </c>
    </row>
    <row r="17" customFormat="false" ht="12.75" hidden="false" customHeight="false" outlineLevel="0" collapsed="false">
      <c r="A17" s="48" t="n">
        <v>2010</v>
      </c>
      <c r="B17" s="49" t="n">
        <v>36154209</v>
      </c>
      <c r="C17" s="49" t="n">
        <f aca="false">$B17/(POWER(1+'[2]facts premium'!C$16,($A17-1996.5)))</f>
        <v>17105923.899244</v>
      </c>
      <c r="D17" s="49" t="n">
        <f aca="false">$B17/(POWER(1+'[2]facts premium'!D$16,($A17-1996.5)))</f>
        <v>17661597.3404937</v>
      </c>
      <c r="E17" s="49" t="n">
        <f aca="false">$B17/(POWER(1+'[2]facts premium'!E$16,($A17-1996.5)))</f>
        <v>18236705.1587539</v>
      </c>
      <c r="F17" s="49" t="n">
        <f aca="false">$B17/(POWER(1+'[2]facts premium'!F$16,($A17-1996.5)))</f>
        <v>16568984.4412413</v>
      </c>
      <c r="G17" s="49" t="n">
        <f aca="false">$B17/(POWER(1+'[2]facts premium'!G$16,($A17-1996.5)))</f>
        <v>16050105.3801489</v>
      </c>
      <c r="H17" s="49" t="n">
        <f aca="false">$B17/(POWER(1+'[2]facts premium'!H$16,($A17-1996.5)))</f>
        <v>15548638.8513477</v>
      </c>
    </row>
    <row r="18" customFormat="false" ht="12.75" hidden="false" customHeight="false" outlineLevel="0" collapsed="false">
      <c r="A18" s="48" t="n">
        <v>2011</v>
      </c>
      <c r="B18" s="49" t="n">
        <v>37631336</v>
      </c>
      <c r="C18" s="49" t="n">
        <f aca="false">$B18/(POWER(1+'[2]facts premium'!C$16,($A18-1996.5)))</f>
        <v>16844662.7804012</v>
      </c>
      <c r="D18" s="49" t="n">
        <f aca="false">$B18/(POWER(1+'[2]facts premium'!D$16,($A18-1996.5)))</f>
        <v>17433081.7996554</v>
      </c>
      <c r="E18" s="49" t="n">
        <f aca="false">$B18/(POWER(1+'[2]facts premium'!E$16,($A18-1996.5)))</f>
        <v>18043525.9983125</v>
      </c>
      <c r="F18" s="49" t="n">
        <f aca="false">$B18/(POWER(1+'[2]facts premium'!F$16,($A18-1996.5)))</f>
        <v>16277424.9593296</v>
      </c>
      <c r="G18" s="49" t="n">
        <f aca="false">$B18/(POWER(1+'[2]facts premium'!G$16,($A18-1996.5)))</f>
        <v>15730558.5760221</v>
      </c>
      <c r="H18" s="49" t="n">
        <f aca="false">$B18/(POWER(1+'[2]facts premium'!H$16,($A18-1996.5)))</f>
        <v>15203286.6274259</v>
      </c>
    </row>
    <row r="19" customFormat="false" ht="12.75" hidden="false" customHeight="false" outlineLevel="0" collapsed="false">
      <c r="A19" s="48" t="n">
        <v>2012</v>
      </c>
      <c r="B19" s="49" t="n">
        <v>39168818</v>
      </c>
      <c r="C19" s="49" t="n">
        <f aca="false">$B19/(POWER(1+'[2]facts premium'!C$16,($A19-1996.5)))</f>
        <v>16587394.0832343</v>
      </c>
      <c r="D19" s="49" t="n">
        <f aca="false">$B19/(POWER(1+'[2]facts premium'!D$16,($A19-1996.5)))</f>
        <v>17207525.1446171</v>
      </c>
      <c r="E19" s="49" t="n">
        <f aca="false">$B19/(POWER(1+'[2]facts premium'!E$16,($A19-1996.5)))</f>
        <v>17852395.4691974</v>
      </c>
      <c r="F19" s="49" t="n">
        <f aca="false">$B19/(POWER(1+'[2]facts premium'!F$16,($A19-1996.5)))</f>
        <v>15990998.0304453</v>
      </c>
      <c r="G19" s="49" t="n">
        <f aca="false">$B19/(POWER(1+'[2]facts premium'!G$16,($A19-1996.5)))</f>
        <v>15417375.727397</v>
      </c>
      <c r="H19" s="49" t="n">
        <f aca="false">$B19/(POWER(1+'[2]facts premium'!H$16,($A19-1996.5)))</f>
        <v>14865606.9751737</v>
      </c>
    </row>
    <row r="20" customFormat="false" ht="12.75" hidden="false" customHeight="false" outlineLevel="0" collapsed="false">
      <c r="A20" s="48" t="n">
        <v>2013</v>
      </c>
      <c r="B20" s="49" t="n">
        <v>40769121</v>
      </c>
      <c r="C20" s="49" t="n">
        <f aca="false">$B20/(POWER(1+'[2]facts premium'!C$16,($A20-1996.5)))</f>
        <v>16334056.647038</v>
      </c>
      <c r="D20" s="49" t="n">
        <f aca="false">$B20/(POWER(1+'[2]facts premium'!D$16,($A20-1996.5)))</f>
        <v>16984888.9109934</v>
      </c>
      <c r="E20" s="49" t="n">
        <f aca="false">$B20/(POWER(1+'[2]facts premium'!E$16,($A20-1996.5)))</f>
        <v>17663291.6935854</v>
      </c>
      <c r="F20" s="49" t="n">
        <f aca="false">$B20/(POWER(1+'[2]facts premium'!F$16,($A20-1996.5)))</f>
        <v>15709613.1519525</v>
      </c>
      <c r="G20" s="49" t="n">
        <f aca="false">$B20/(POWER(1+'[2]facts premium'!G$16,($A20-1996.5)))</f>
        <v>15110429.9433022</v>
      </c>
      <c r="H20" s="49" t="n">
        <f aca="false">$B20/(POWER(1+'[2]facts premium'!H$16,($A20-1996.5)))</f>
        <v>14535429.2876701</v>
      </c>
    </row>
    <row r="21" customFormat="false" ht="12.75" hidden="false" customHeight="false" outlineLevel="0" collapsed="false">
      <c r="A21" s="48" t="n">
        <v>2014</v>
      </c>
      <c r="B21" s="49" t="n">
        <v>42434811</v>
      </c>
      <c r="C21" s="49" t="n">
        <f aca="false">$B21/(POWER(1+'[2]facts premium'!C$16,($A21-1996.5)))</f>
        <v>16084589.971366</v>
      </c>
      <c r="D21" s="49" t="n">
        <f aca="false">$B21/(POWER(1+'[2]facts premium'!D$16,($A21-1996.5)))</f>
        <v>16765134.8453065</v>
      </c>
      <c r="E21" s="49" t="n">
        <f aca="false">$B21/(POWER(1+'[2]facts premium'!E$16,($A21-1996.5)))</f>
        <v>17476192.7251733</v>
      </c>
      <c r="F21" s="49" t="n">
        <f aca="false">$B21/(POWER(1+'[2]facts premium'!F$16,($A21-1996.5)))</f>
        <v>15433181.1522839</v>
      </c>
      <c r="G21" s="49" t="n">
        <f aca="false">$B21/(POWER(1+'[2]facts premium'!G$16,($A21-1996.5)))</f>
        <v>14809596.609467</v>
      </c>
      <c r="H21" s="49" t="n">
        <f aca="false">$B21/(POWER(1+'[2]facts premium'!H$16,($A21-1996.5)))</f>
        <v>14212586.5091214</v>
      </c>
    </row>
    <row r="22" customFormat="false" ht="12.75" hidden="false" customHeight="false" outlineLevel="0" collapsed="false">
      <c r="A22" s="48" t="n">
        <v>2015</v>
      </c>
      <c r="B22" s="50" t="n">
        <v>44168561</v>
      </c>
      <c r="C22" s="50" t="n">
        <f aca="false">$B22/(POWER(1+'[2]facts premium'!C$16,($A22-1996.5)))</f>
        <v>15838935.3119817</v>
      </c>
      <c r="D22" s="50" t="n">
        <f aca="false">$B22/(POWER(1+'[2]facts premium'!D$16,($A22-1996.5)))</f>
        <v>16548226.0551085</v>
      </c>
      <c r="E22" s="50" t="n">
        <f aca="false">$B22/(POWER(1+'[2]facts premium'!E$16,($A22-1996.5)))</f>
        <v>17291077.7516582</v>
      </c>
      <c r="F22" s="50" t="n">
        <f aca="false">$B22/(POWER(1+'[2]facts premium'!F$16,($A22-1996.5)))</f>
        <v>15161615.2287303</v>
      </c>
      <c r="G22" s="50" t="n">
        <f aca="false">$B22/(POWER(1+'[2]facts premium'!G$16,($A22-1996.5)))</f>
        <v>14514754.3612864</v>
      </c>
      <c r="H22" s="50" t="n">
        <f aca="false">$B22/(POWER(1+'[2]facts premium'!H$16,($A22-1996.5)))</f>
        <v>13896916.033178</v>
      </c>
    </row>
    <row r="23" customFormat="false" ht="12.75" hidden="false" customHeight="false" outlineLevel="0" collapsed="false">
      <c r="A23" s="48" t="s">
        <v>30</v>
      </c>
      <c r="B23" s="49" t="n">
        <f aca="false">SUM(B3:B22)</f>
        <v>603105479</v>
      </c>
      <c r="C23" s="49" t="n">
        <f aca="false">SUM(C3:C22)</f>
        <v>350472549.334452</v>
      </c>
      <c r="D23" s="49" t="n">
        <f aca="false">SUM(D3:D22)</f>
        <v>358008851.154605</v>
      </c>
      <c r="E23" s="49" t="n">
        <f aca="false">SUM(E3:E22)</f>
        <v>365788328.825356</v>
      </c>
      <c r="F23" s="49" t="n">
        <f aca="false">SUM(F3:F22)</f>
        <v>343170429.281532</v>
      </c>
      <c r="G23" s="49" t="n">
        <f aca="false">SUM(G3:G22)</f>
        <v>336093868.374683</v>
      </c>
      <c r="H23" s="49" t="n">
        <f aca="false">SUM(H3:H22)</f>
        <v>329234598.777658</v>
      </c>
    </row>
    <row r="25" customFormat="false" ht="12.75" hidden="false" customHeight="false" outlineLevel="0" collapsed="false">
      <c r="A25" s="42" t="s">
        <v>31</v>
      </c>
    </row>
    <row r="28" customFormat="false" ht="12.75" hidden="false" customHeight="false" outlineLevel="0" collapsed="false">
      <c r="A28" s="51" t="s">
        <v>24</v>
      </c>
      <c r="C28" s="52" t="n">
        <f aca="false">C23/1000000</f>
        <v>350.472549334452</v>
      </c>
      <c r="D28" s="52" t="n">
        <f aca="false">D23/1000000</f>
        <v>358.008851154605</v>
      </c>
      <c r="E28" s="52" t="n">
        <f aca="false">E23/1000000</f>
        <v>365.788328825356</v>
      </c>
      <c r="F28" s="52" t="n">
        <f aca="false">F23/1000000</f>
        <v>343.170429281532</v>
      </c>
      <c r="G28" s="52" t="n">
        <f aca="false">G23/1000000</f>
        <v>336.093868374683</v>
      </c>
      <c r="H28" s="52" t="n">
        <f aca="false">H23/1000000</f>
        <v>329.234598777658</v>
      </c>
    </row>
    <row r="30" customFormat="false" ht="12.75" hidden="false" customHeight="false" outlineLevel="0" collapsed="false">
      <c r="A30" s="53" t="s">
        <v>32</v>
      </c>
      <c r="C30" s="54" t="n">
        <v>0.0488</v>
      </c>
      <c r="D30" s="54" t="n">
        <v>0.0463</v>
      </c>
      <c r="E30" s="54" t="n">
        <v>0.0438</v>
      </c>
      <c r="F30" s="54" t="n">
        <v>0.0513</v>
      </c>
      <c r="G30" s="54" t="n">
        <v>0.0538</v>
      </c>
      <c r="H30" s="54" t="n">
        <v>0.0563</v>
      </c>
    </row>
    <row r="31" customFormat="false" ht="12.75" hidden="false" customHeight="false" outlineLevel="0" collapsed="false">
      <c r="A31" s="53" t="s">
        <v>10</v>
      </c>
      <c r="C31" s="54" t="n">
        <v>0.057</v>
      </c>
      <c r="D31" s="54" t="n">
        <v>0.0545</v>
      </c>
      <c r="E31" s="54" t="n">
        <v>0.052</v>
      </c>
      <c r="F31" s="54" t="n">
        <v>0.0595</v>
      </c>
      <c r="G31" s="54" t="n">
        <v>0.062</v>
      </c>
      <c r="H31" s="54" t="n">
        <v>0.0645</v>
      </c>
    </row>
    <row r="33" customFormat="false" ht="12.75" hidden="false" customHeight="false" outlineLevel="0" collapsed="false">
      <c r="A33" s="55" t="s">
        <v>33</v>
      </c>
      <c r="B33" s="55"/>
      <c r="C33" s="56" t="n">
        <f aca="false">(C28/(C31/C30*(1-POWER(1+C30,-20))+POWER(1+C30,-20)))</f>
        <v>317.676301817471</v>
      </c>
      <c r="D33" s="56" t="n">
        <f aca="false">(D28/(D31/D30*(1-POWER(1+D30,-20))+POWER(1+D30,-20)))</f>
        <v>323.851102761966</v>
      </c>
      <c r="E33" s="56" t="n">
        <f aca="false">(E28/(E31/E30*(1-POWER(1+E30,-20))+POWER(1+E30,-20)))</f>
        <v>330.198567753616</v>
      </c>
      <c r="F33" s="56" t="n">
        <f aca="false">(F28/(F31/F30*(1-POWER(1+F30,-20))+POWER(1+F30,-20)))</f>
        <v>311.669087583747</v>
      </c>
      <c r="G33" s="56" t="n">
        <f aca="false">(G28/(G31/G30*(1-POWER(1+G30,-20))+POWER(1+G30,-20)))</f>
        <v>305.82451845255</v>
      </c>
      <c r="H33" s="56" t="n">
        <f aca="false">(H28/(H31/H30*(1-POWER(1+H30,-20))+POWER(1+H30,-20)))</f>
        <v>300.13778682579</v>
      </c>
    </row>
  </sheetData>
  <mergeCells count="1">
    <mergeCell ref="C1:H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0.66796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Roman,Bold"&amp;A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2000-12-05T02:27:02Z</dcterms:created>
  <dc:creator>Chris Neale</dc:creator>
  <dc:description/>
  <dc:language>en-US</dc:language>
  <cp:lastModifiedBy>Chris Neale</cp:lastModifiedBy>
  <cp:lastPrinted>2000-12-05T04:36:24Z</cp:lastPrinted>
  <dcterms:modified xsi:type="dcterms:W3CDTF">2000-12-05T04:44:38Z</dcterms:modified>
  <cp:revision>0</cp:revision>
  <dc:subject/>
  <dc:title/>
</cp:coreProperties>
</file>